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веты на форму (1)" sheetId="1" r:id="rId4"/>
    <sheet state="visible" name="ФИО" sheetId="2" r:id="rId5"/>
  </sheets>
  <definedNames>
    <definedName hidden="1" localSheetId="0" name="_xlnm._FilterDatabase">'Ответы на форму (1)'!$A$1:$Z$1733</definedName>
    <definedName hidden="1" localSheetId="1" name="_xlnm._FilterDatabase">'ФИО'!$A$1:$E$1000</definedName>
    <definedName hidden="1" localSheetId="0" name="Z_3596EB0D_0185_4676_8377_18DFA9F26B76_.wvu.FilterData">'Ответы на форму (1)'!$A$1:$Z$1466</definedName>
    <definedName hidden="1" localSheetId="0" name="Z_A4E7C02A_B6A9_4CA2_8FE5_D80D4BE293C5_.wvu.FilterData">'Ответы на форму (1)'!$A$1:$Z$1733</definedName>
    <definedName hidden="1" localSheetId="0" name="Z_3325AF79_FE7C_46C0_8D5C_7A0FF7253BF7_.wvu.FilterData">'Ответы на форму (1)'!$A$1:$Z$531</definedName>
    <definedName hidden="1" localSheetId="0" name="Z_18BF696D_F462_41B4_AF9C_21185EC57C6A_.wvu.FilterData">'Ответы на форму (1)'!$A$1:$Z$270</definedName>
    <definedName hidden="1" localSheetId="0" name="Z_7C4657D6_1CDA_4C39_9E63_961867C257B6_.wvu.FilterData">'Ответы на форму (1)'!$A$1:$Z$1466</definedName>
    <definedName hidden="1" localSheetId="0" name="Z_525B9F1B_8B1D_4F74_835D_DDF40C4462AE_.wvu.FilterData">'Ответы на форму (1)'!$A$1:$Z$1733</definedName>
    <definedName hidden="1" localSheetId="0" name="Z_3E9806ED_A2C4_47FC_9EE0_4871777297F8_.wvu.FilterData">'Ответы на форму (1)'!$T$1473</definedName>
    <definedName hidden="1" localSheetId="0" name="Z_FE9D95DF_F076_41C7_A09F_7C590E915E1F_.wvu.FilterData">'Ответы на форму (1)'!$A$1:$Z$1466</definedName>
    <definedName hidden="1" localSheetId="0" name="Z_25524AC4_9313_4C90_B497_C47D3908F88A_.wvu.FilterData">'Ответы на форму (1)'!$A$1:$Z$1466</definedName>
    <definedName hidden="1" localSheetId="0" name="Z_945E118C_3F88_43D1_A6C1_5120645AF663_.wvu.FilterData">'Ответы на форму (1)'!$A$1:$Z$1734</definedName>
    <definedName hidden="1" localSheetId="0" name="Z_8F7B2374_E3C0_4667_9369_ECDA61D27531_.wvu.FilterData">'Ответы на форму (1)'!$A$1:$Z$1474</definedName>
    <definedName hidden="1" localSheetId="0" name="Z_E780316E_6B1B_4616_BEBC_E6D65D018C3F_.wvu.FilterData">'Ответы на форму (1)'!$A$1:$Z$1820</definedName>
    <definedName hidden="1" localSheetId="0" name="Z_2A6D8C58_75E4_4E03_B4A8_481072913A17_.wvu.FilterData">'Ответы на форму (1)'!$A$1:$Z$1820</definedName>
    <definedName hidden="1" localSheetId="0" name="Z_A9A4FBD4_5FC8_4E7E_B259_FAA84BAC4E0C_.wvu.FilterData">'Ответы на форму (1)'!$A$1:$Z$577</definedName>
    <definedName hidden="1" localSheetId="0" name="Z_5A414DD9_2A2C_4CAB_9BC8_FCD17F8897B1_.wvu.FilterData">'Ответы на форму (1)'!$P$1479:$P$1733</definedName>
    <definedName hidden="1" localSheetId="0" name="Z_FB408E23_E8C9_43EF_BB3E_53623CA2A06D_.wvu.FilterData">'Ответы на форму (1)'!$A$1:$Z$1466</definedName>
    <definedName hidden="1" localSheetId="0" name="Z_FF379543_900E_4FD3_982D_36EA41EC6E7E_.wvu.FilterData">'Ответы на форму (1)'!$A$1:$Z$1733</definedName>
    <definedName hidden="1" localSheetId="0" name="Z_2B3986B1_889A_4C0B_AD94_734B8E051243_.wvu.FilterData">'Ответы на форму (1)'!$A$1:$Z$1466</definedName>
    <definedName hidden="1" localSheetId="0" name="Z_DD3D0492_C444_408E_A0B6_D91B05F1AF4E_.wvu.FilterData">'Ответы на форму (1)'!$A$1:$Z$1</definedName>
    <definedName hidden="1" localSheetId="0" name="Z_A299A37F_2296_4BA3_81DB_7FCA8970F1F1_.wvu.FilterData">'Ответы на форму (1)'!$R$1472</definedName>
    <definedName hidden="1" localSheetId="0" name="Z_64A6BCBB_5286_43FA_93AC_8F42641ED3C1_.wvu.FilterData">'Ответы на форму (1)'!$A$1:$Z$1820</definedName>
    <definedName hidden="1" localSheetId="0" name="Z_C968972E_9FF2_4687_B43A_2AC63DBBB3DB_.wvu.FilterData">'Ответы на форму (1)'!$P$1474:$R$1474</definedName>
    <definedName hidden="1" localSheetId="0" name="Z_245A086C_2BA2_464B_B9F8_2091350C84EC_.wvu.FilterData">'Ответы на форму (1)'!$A$1:$Z$1733</definedName>
    <definedName hidden="1" localSheetId="0" name="Z_F245D052_9CEE_4982_AD20_E6A629978F6F_.wvu.FilterData">'Ответы на форму (1)'!$A$1:$Z$1624</definedName>
    <definedName hidden="1" localSheetId="0" name="Z_8DAEC66D_1EC8_4A91_84BE_1DC17713FF4E_.wvu.FilterData">'Ответы на форму (1)'!$A$1:$Z$1474</definedName>
    <definedName hidden="1" localSheetId="0" name="Z_D4A55CA4_736F_4C1B_A489_4AD7EDA2802B_.wvu.FilterData">'Ответы на форму (1)'!$A$1:$Z$1820</definedName>
    <definedName hidden="1" localSheetId="0" name="Z_C49B6275_1FB8_4311_9ABF_297EFB1380C0_.wvu.FilterData">'Ответы на форму (1)'!$A$1:$Z$1820</definedName>
    <definedName hidden="1" localSheetId="0" name="Z_5AB9FF17_74A5_4D38_8E8B_8740AE29E416_.wvu.FilterData">'Ответы на форму (1)'!$A$1:$Z$1820</definedName>
    <definedName hidden="1" localSheetId="0" name="Z_FF4C3AD5_9290_4AD5_BDBE_D32B6983F0BA_.wvu.FilterData">'Ответы на форму (1)'!$A$1:$Z$1466</definedName>
    <definedName hidden="1" localSheetId="0" name="Z_57404B24_6EB0_4D52_A6C8_1BC44FD36F91_.wvu.FilterData">'Ответы на форму (1)'!$A$1:$Z$1820</definedName>
    <definedName hidden="1" localSheetId="0" name="Z_6D8EF80A_7722_4FF8_B4C4_903D70D16F26_.wvu.FilterData">'Ответы на форму (1)'!$M$1477</definedName>
    <definedName hidden="1" localSheetId="0" name="Z_89D6FD8A_E79D_4984_A226_5F85FA51644A_.wvu.FilterData">'Ответы на форму (1)'!$P$1479:$P$1733</definedName>
    <definedName hidden="1" localSheetId="0" name="Z_3A2F55A7_294B_462D_A2B7_6BDDD7E7445D_.wvu.FilterData">'Ответы на форму (1)'!$A$1:$Z$1733</definedName>
    <definedName hidden="1" localSheetId="0" name="Z_BC25869F_C681_4D15_A6DF_AFA3D12BB2BA_.wvu.FilterData">'Ответы на форму (1)'!$A$1:$Z$929</definedName>
    <definedName hidden="1" localSheetId="0" name="Z_3D47E605_B1FF_4B2B_B110_672CB1DC1C51_.wvu.FilterData">'Ответы на форму (1)'!$P$1479:$P$1733</definedName>
    <definedName hidden="1" localSheetId="0" name="Z_2EE7B9A8_1648_451A_BFAB_E2C870E05AC9_.wvu.FilterData">'Ответы на форму (1)'!$A$1:$Z$1820</definedName>
    <definedName hidden="1" localSheetId="0" name="Z_666CFF2C_77C0_4D59_B356_E85D3D3F2940_.wvu.FilterData">'Ответы на форму (1)'!$A$1:$Z$1820</definedName>
    <definedName hidden="1" localSheetId="0" name="Z_BC6E092E_23B0_4EE3_B6B1_F158F36AEE1D_.wvu.FilterData">'Ответы на форму (1)'!$W$1471</definedName>
    <definedName hidden="1" localSheetId="0" name="Z_BD93377E_A2E9_4414_97CD_6DA113B112BD_.wvu.FilterData">'Ответы на форму (1)'!$A$1:$Z$1733</definedName>
    <definedName hidden="1" localSheetId="0" name="Z_0F8EA79D_3557_456C_BDC5_6100EF744E32_.wvu.FilterData">'Ответы на форму (1)'!$T$1473</definedName>
    <definedName hidden="1" localSheetId="0" name="Z_8504DB23_1D85_40D4_B6C9_7AFE0117FDC8_.wvu.FilterData">'Ответы на форму (1)'!$A$1:$Z$1733</definedName>
    <definedName hidden="1" localSheetId="0" name="Z_7E1C22E7_E871_4AC5_8E62_5D12CFBDA8FD_.wvu.FilterData">'Ответы на форму (1)'!$A$1:$Z$1820</definedName>
    <definedName hidden="1" localSheetId="0" name="Z_9A5680A1_7CC5_4DDA_B5C1_17A460AC052C_.wvu.FilterData">'Ответы на форму (1)'!$A$1:$Z$1474</definedName>
    <definedName hidden="1" localSheetId="0" name="Z_1C1D2E1D_A69E_4F99_B117_81C19A3CB6E3_.wvu.FilterData">'Ответы на форму (1)'!$A$1:$Z$1466</definedName>
    <definedName hidden="1" localSheetId="0" name="Z_047E393D_6AB2_4327_AE74_57A82718779F_.wvu.FilterData">'Ответы на форму (1)'!$A$1:$Z$1820</definedName>
  </definedNames>
  <calcPr/>
  <customWorkbookViews>
    <customWorkbookView activeSheetId="0" maximized="1" tabRatio="600" windowHeight="0" windowWidth="0" guid="{BC25869F-C681-4D15-A6DF-AFA3D12BB2BA}" name="Фильтр 29"/>
    <customWorkbookView activeSheetId="0" maximized="1" tabRatio="600" windowHeight="0" windowWidth="0" guid="{FB408E23-E8C9-43EF-BB3E-53623CA2A06D}" name="Фильтр 28"/>
    <customWorkbookView activeSheetId="0" maximized="1" tabRatio="600" windowHeight="0" windowWidth="0" guid="{57404B24-6EB0-4D52-A6C8-1BC44FD36F91}" name="Фильтр 27"/>
    <customWorkbookView activeSheetId="0" maximized="1" tabRatio="600" windowHeight="0" windowWidth="0" guid="{3596EB0D-0185-4676-8377-18DFA9F26B76}" name="Фильтр 26"/>
    <customWorkbookView activeSheetId="0" maximized="1" tabRatio="600" windowHeight="0" windowWidth="0" guid="{945E118C-3F88-43D1-A6C1-5120645AF663}" name="Фильтр 25"/>
    <customWorkbookView activeSheetId="0" maximized="1" tabRatio="600" windowHeight="0" windowWidth="0" guid="{5A414DD9-2A2C-4CAB-9BC8-FCD17F8897B1}" name="Фильтр 35"/>
    <customWorkbookView activeSheetId="0" maximized="1" tabRatio="600" windowHeight="0" windowWidth="0" guid="{FE9D95DF-F076-41C7-A09F-7C590E915E1F}" name="Фильтр 13"/>
    <customWorkbookView activeSheetId="0" maximized="1" tabRatio="600" windowHeight="0" windowWidth="0" guid="{2A6D8C58-75E4-4E03-B4A8-481072913A17}" name="Фильтр 1"/>
    <customWorkbookView activeSheetId="0" maximized="1" tabRatio="600" windowHeight="0" windowWidth="0" guid="{3325AF79-FE7C-46C0-8D5C-7A0FF7253BF7}" name="Фильтр 12"/>
    <customWorkbookView activeSheetId="0" maximized="1" tabRatio="600" windowHeight="0" windowWidth="0" guid="{18BF696D-F462-41B4-AF9C-21185EC57C6A}" name="Фильтр 2"/>
    <customWorkbookView activeSheetId="0" maximized="1" tabRatio="600" windowHeight="0" windowWidth="0" guid="{E780316E-6B1B-4616-BEBC-E6D65D018C3F}" name="Фильтр 34"/>
    <customWorkbookView activeSheetId="0" maximized="1" tabRatio="600" windowHeight="0" windowWidth="0" guid="{BC6E092E-23B0-4EE3-B6B1-F158F36AEE1D}" name="Фильтр 33"/>
    <customWorkbookView activeSheetId="0" maximized="1" tabRatio="600" windowHeight="0" windowWidth="0" guid="{5AB9FF17-74A5-4D38-8E8B-8740AE29E416}" name="Фильтр 11"/>
    <customWorkbookView activeSheetId="0" maximized="1" tabRatio="600" windowHeight="0" windowWidth="0" guid="{8F7B2374-E3C0-4667-9369-ECDA61D27531}" name="Фильтр 3"/>
    <customWorkbookView activeSheetId="0" maximized="1" tabRatio="600" windowHeight="0" windowWidth="0" guid="{DD3D0492-C444-408E-A0B6-D91B05F1AF4E}" name="Фильтр 10"/>
    <customWorkbookView activeSheetId="0" maximized="1" tabRatio="600" windowHeight="0" windowWidth="0" guid="{3A2F55A7-294B-462D-A2B7-6BDDD7E7445D}" name="Фильтр 32"/>
    <customWorkbookView activeSheetId="0" maximized="1" tabRatio="600" windowHeight="0" windowWidth="0" guid="{9A5680A1-7CC5-4DDA-B5C1-17A460AC052C}" name="Фильтр 4"/>
    <customWorkbookView activeSheetId="0" maximized="1" tabRatio="600" windowHeight="0" windowWidth="0" guid="{7E1C22E7-E871-4AC5-8E62-5D12CFBDA8FD}" name="Фильтр 31"/>
    <customWorkbookView activeSheetId="0" maximized="1" tabRatio="600" windowHeight="0" windowWidth="0" guid="{64A6BCBB-5286-43FA-93AC-8F42641ED3C1}" name="Фильтр 30"/>
    <customWorkbookView activeSheetId="0" maximized="1" tabRatio="600" windowHeight="0" windowWidth="0" guid="{666CFF2C-77C0-4D59-B356-E85D3D3F2940}" name="Фильтр 9"/>
    <customWorkbookView activeSheetId="0" maximized="1" tabRatio="600" windowHeight="0" windowWidth="0" guid="{8DAEC66D-1EC8-4A91-84BE-1DC17713FF4E}" name="Фильтр 5"/>
    <customWorkbookView activeSheetId="0" maximized="1" tabRatio="600" windowHeight="0" windowWidth="0" guid="{7C4657D6-1CDA-4C39-9E63-961867C257B6}" name="Фильтр 6"/>
    <customWorkbookView activeSheetId="0" maximized="1" tabRatio="600" windowHeight="0" windowWidth="0" guid="{25524AC4-9313-4C90-B497-C47D3908F88A}" name="Фильтр 7"/>
    <customWorkbookView activeSheetId="0" maximized="1" tabRatio="600" windowHeight="0" windowWidth="0" guid="{C49B6275-1FB8-4311-9ABF-297EFB1380C0}" name="Фильтр 8"/>
    <customWorkbookView activeSheetId="0" maximized="1" tabRatio="600" windowHeight="0" windowWidth="0" guid="{A299A37F-2296-4BA3-81DB-7FCA8970F1F1}" name="Фильтр 19"/>
    <customWorkbookView activeSheetId="0" maximized="1" tabRatio="600" windowHeight="0" windowWidth="0" guid="{FF4C3AD5-9290-4AD5-BDBE-D32B6983F0BA}" name="Фильтр 18"/>
    <customWorkbookView activeSheetId="0" maximized="1" tabRatio="600" windowHeight="0" windowWidth="0" guid="{1C1D2E1D-A69E-4F99-B117-81C19A3CB6E3}" name="Фильтр 17"/>
    <customWorkbookView activeSheetId="0" maximized="1" tabRatio="600" windowHeight="0" windowWidth="0" guid="{D4A55CA4-736F-4C1B-A489-4AD7EDA2802B}" name="Фильтр 39"/>
    <customWorkbookView activeSheetId="0" maximized="1" tabRatio="600" windowHeight="0" windowWidth="0" guid="{245A086C-2BA2-464B-B9F8-2091350C84EC}" name="Фильтр 38"/>
    <customWorkbookView activeSheetId="0" maximized="1" tabRatio="600" windowHeight="0" windowWidth="0" guid="{C968972E-9FF2-4687-B43A-2AC63DBBB3DB}" name="Фильтр 16"/>
    <customWorkbookView activeSheetId="0" maximized="1" tabRatio="600" windowHeight="0" windowWidth="0" guid="{3D47E605-B1FF-4B2B-B110-672CB1DC1C51}" name="Фильтр 37"/>
    <customWorkbookView activeSheetId="0" maximized="1" tabRatio="600" windowHeight="0" windowWidth="0" guid="{2B3986B1-889A-4C0B-AD94-734B8E051243}" name="Фильтр 15"/>
    <customWorkbookView activeSheetId="0" maximized="1" tabRatio="600" windowHeight="0" windowWidth="0" guid="{6D8EF80A-7722-4FF8-B4C4-903D70D16F26}" name="Фильтр 14"/>
    <customWorkbookView activeSheetId="0" maximized="1" tabRatio="600" windowHeight="0" windowWidth="0" guid="{89D6FD8A-E79D-4984-A226-5F85FA51644A}" name="Фильтр 36"/>
    <customWorkbookView activeSheetId="0" maximized="1" tabRatio="600" windowHeight="0" windowWidth="0" guid="{2EE7B9A8-1648-451A-BFAB-E2C870E05AC9}" name="Фильтр 24"/>
    <customWorkbookView activeSheetId="0" maximized="1" tabRatio="600" windowHeight="0" windowWidth="0" guid="{8504DB23-1D85-40D4-B6C9-7AFE0117FDC8}" name="Фильтр 45"/>
    <customWorkbookView activeSheetId="0" maximized="1" tabRatio="600" windowHeight="0" windowWidth="0" guid="{047E393D-6AB2-4327-AE74-57A82718779F}" name="Фильтр 23"/>
    <customWorkbookView activeSheetId="0" maximized="1" tabRatio="600" windowHeight="0" windowWidth="0" guid="{A9A4FBD4-5FC8-4E7E-B259-FAA84BAC4E0C}" name="Фильтр 22"/>
    <customWorkbookView activeSheetId="0" maximized="1" tabRatio="600" windowHeight="0" windowWidth="0" guid="{FF379543-900E-4FD3-982D-36EA41EC6E7E}" name="Фильтр 44"/>
    <customWorkbookView activeSheetId="0" maximized="1" tabRatio="600" windowHeight="0" windowWidth="0" guid="{F245D052-9CEE-4982-AD20-E6A629978F6F}" name="Фильтр 43"/>
    <customWorkbookView activeSheetId="0" maximized="1" tabRatio="600" windowHeight="0" windowWidth="0" guid="{0F8EA79D-3557-456C-BDC5-6100EF744E32}" name="Фильтр 21"/>
    <customWorkbookView activeSheetId="0" maximized="1" tabRatio="600" windowHeight="0" windowWidth="0" guid="{A4E7C02A-B6A9-4CA2-8FE5-D80D4BE293C5}" name="Фильтр 42"/>
    <customWorkbookView activeSheetId="0" maximized="1" tabRatio="600" windowHeight="0" windowWidth="0" guid="{3E9806ED-A2C4-47FC-9EE0-4871777297F8}" name="Фильтр 20"/>
    <customWorkbookView activeSheetId="0" maximized="1" tabRatio="600" windowHeight="0" windowWidth="0" guid="{525B9F1B-8B1D-4F74-835D-DDF40C4462AE}" name="Фильтр 41"/>
    <customWorkbookView activeSheetId="0" maximized="1" tabRatio="600" windowHeight="0" windowWidth="0" guid="{BD93377E-A2E9-4414-97CD-6DA113B112BD}" name="Фильтр 40"/>
  </customWorkbookViews>
</workbook>
</file>

<file path=xl/sharedStrings.xml><?xml version="1.0" encoding="utf-8"?>
<sst xmlns="http://schemas.openxmlformats.org/spreadsheetml/2006/main" count="11082" uniqueCount="333">
  <si>
    <t>Отметка времени</t>
  </si>
  <si>
    <t>Номер смены</t>
  </si>
  <si>
    <t>Учётный код</t>
  </si>
  <si>
    <t>Участок</t>
  </si>
  <si>
    <t>Работы SMT</t>
  </si>
  <si>
    <t>Работы THT</t>
  </si>
  <si>
    <t>Номер задачи</t>
  </si>
  <si>
    <t>Тип задачи</t>
  </si>
  <si>
    <t>Изделия контрактного производства</t>
  </si>
  <si>
    <t>Прототипы</t>
  </si>
  <si>
    <t>Изделия StarLine</t>
  </si>
  <si>
    <t>Выполненная работа занесена в Aegis?</t>
  </si>
  <si>
    <t>По какой причине работа не занесена в Aegis?</t>
  </si>
  <si>
    <t>Кол-во ПП в заготовке</t>
  </si>
  <si>
    <t>Время сборки из DGS/SEHO в сек. на заготовку</t>
  </si>
  <si>
    <t>Дата выполнения работ</t>
  </si>
  <si>
    <t>Сколько затрачено времени?(часов\минут)</t>
  </si>
  <si>
    <t>Вид работ</t>
  </si>
  <si>
    <t>ФИО</t>
  </si>
  <si>
    <t>Изделия</t>
  </si>
  <si>
    <t>Количество годных плат или изделий</t>
  </si>
  <si>
    <t>Количество задержанных плат или изделий</t>
  </si>
  <si>
    <t>Норма см/ шт</t>
  </si>
  <si>
    <t>Процент выполнения нормы</t>
  </si>
  <si>
    <t>% дефектов</t>
  </si>
  <si>
    <t>Причина в случае невыполения нормы</t>
  </si>
  <si>
    <t>Смена 3 (8:00 - 20:00)</t>
  </si>
  <si>
    <t>SMT</t>
  </si>
  <si>
    <t>Выполнение дополнительных работ на линии</t>
  </si>
  <si>
    <t>Контрактное пр-во</t>
  </si>
  <si>
    <t>915-00121.A - Процессорный модуль РСЕН.469555.027 (КНС Групп) в ТС</t>
  </si>
  <si>
    <t>Нет</t>
  </si>
  <si>
    <t>установка компонентов (не завершена), работа с TC (поиск не установленных компонентов)</t>
  </si>
  <si>
    <t>ssfp2.2 (Метротек)</t>
  </si>
  <si>
    <t>Не требуется</t>
  </si>
  <si>
    <t>Занесение в Aegis</t>
  </si>
  <si>
    <t>платы частично занесены; проблемы с батчем</t>
  </si>
  <si>
    <t>Да</t>
  </si>
  <si>
    <t>Смена 3 (20:00 - 8:00)</t>
  </si>
  <si>
    <t>Зарядка питателей Prim</t>
  </si>
  <si>
    <t>Зарядка питателей Sec</t>
  </si>
  <si>
    <t>Верификация заказа Waggon (после сборки)</t>
  </si>
  <si>
    <t>915-00070.A - Модуль телематики ТМ1 v3 (Сознательные машины)</t>
  </si>
  <si>
    <t>915-00097.A - ПКД-8В-3 АСЛБ.467249.110 (Квант)</t>
  </si>
  <si>
    <t>Плюс треи</t>
  </si>
  <si>
    <t>Starline</t>
  </si>
  <si>
    <t>ПУ 910-00349.A "Печатный узел основного блока E96 4LIN"</t>
  </si>
  <si>
    <t>Верификация компонентов на линию</t>
  </si>
  <si>
    <t>Выполнение организационных работ</t>
  </si>
  <si>
    <t>Полка прослеживаемости</t>
  </si>
  <si>
    <t>Заполнение отчёта</t>
  </si>
  <si>
    <t>Внутрисхемное тестирование ICT</t>
  </si>
  <si>
    <t>М17V2 (900-00018.D)_910-00023.H и ПУ 910-00012.I</t>
  </si>
  <si>
    <t>Настройка программы на ICT</t>
  </si>
  <si>
    <t>915-00121.A - Процессорный модуль РСЕН.469555.027 (КНС Групп)</t>
  </si>
  <si>
    <t>Маркировка плат</t>
  </si>
  <si>
    <t>915-00098.А - ПКБУИК-38 АСЛБ.465122.020 (Квант)</t>
  </si>
  <si>
    <t>Настройка линии Primary</t>
  </si>
  <si>
    <t>ПУ метки i95</t>
  </si>
  <si>
    <t>Малое количество компонентов</t>
  </si>
  <si>
    <t>915-00102.A - ПБОК-2В АСЛБ.465285.013 (Квант)</t>
  </si>
  <si>
    <t>Доработка трафарета</t>
  </si>
  <si>
    <t>ReviewStation pri</t>
  </si>
  <si>
    <t>915-00103.A - ПБОК-1В АСЛБ.465285.012 (Квант)</t>
  </si>
  <si>
    <t>Review</t>
  </si>
  <si>
    <t>Проверка комплектации</t>
  </si>
  <si>
    <t>Проверка первой платы до оплавления</t>
  </si>
  <si>
    <t>Сборка на линии Prim</t>
  </si>
  <si>
    <t>Прохождение обучения</t>
  </si>
  <si>
    <t>THT</t>
  </si>
  <si>
    <t xml:space="preserve">+Верификация +поиск необхоимых питателей +настройка питателей </t>
  </si>
  <si>
    <t>Расстановка по позициям + зарядка + верификация</t>
  </si>
  <si>
    <t>Пайка компонентов PRI</t>
  </si>
  <si>
    <t>915-00114.A - ПБЭС-37П АСЛБ.467291.010-01 (Квант)</t>
  </si>
  <si>
    <t>Формовка компонентов+установка+пайка</t>
  </si>
  <si>
    <t>ПБУИК-37В ASLB_758726_011r1 (Квант)</t>
  </si>
  <si>
    <t>Смена 4 (20:00 - 8:00)</t>
  </si>
  <si>
    <t>915-00081.A-Модуль Трик8 (Кибертех)</t>
  </si>
  <si>
    <t>ТНТ</t>
  </si>
  <si>
    <t>Настройка SEHO SEC</t>
  </si>
  <si>
    <t>Пайка компонентов SEC</t>
  </si>
  <si>
    <t>Проверка на АОИ SEC</t>
  </si>
  <si>
    <t>Настройка установщиков</t>
  </si>
  <si>
    <t>шарики припоя,непропай,смещение.</t>
  </si>
  <si>
    <t>Настройка принтера Sec</t>
  </si>
  <si>
    <t>Очистка трафаретного принтера</t>
  </si>
  <si>
    <t>Проведение обучения</t>
  </si>
  <si>
    <t>Смена 2 (8:00 - 20:00)</t>
  </si>
  <si>
    <t>Сборка на линии Sec</t>
  </si>
  <si>
    <t>Смена 4 (8:00 - 20:00)</t>
  </si>
  <si>
    <t>915-00124.A - Tioga Pass_v1.1 (Гагар.ин)</t>
  </si>
  <si>
    <t>ПУ Сигма 10/15 910-00080.D</t>
  </si>
  <si>
    <t>Первые платы с линии</t>
  </si>
  <si>
    <t>Первая плата с линии</t>
  </si>
  <si>
    <t>Смена 2 (20:00 - 8:00)</t>
  </si>
  <si>
    <t>915-00095.A - ПКД-8В-1 АСЛБ.467249.108 (Квант)</t>
  </si>
  <si>
    <t>915-00096.A - ПКД-8В-2 АСЛБ.467249.109</t>
  </si>
  <si>
    <t>Проверка плат на АОИ Prim</t>
  </si>
  <si>
    <t>отладка программы.</t>
  </si>
  <si>
    <t>Разрядка обрезков GAGARIN, сортировка сброса</t>
  </si>
  <si>
    <t>Проверка плат на АОИ Sec</t>
  </si>
  <si>
    <t>Настройка принтера Prim</t>
  </si>
  <si>
    <t>С учетом расстановки пинов</t>
  </si>
  <si>
    <t>Проверка на АОИ PRI</t>
  </si>
  <si>
    <t>Обучение</t>
  </si>
  <si>
    <t xml:space="preserve">Обучение по созданию программ на Модусе. </t>
  </si>
  <si>
    <t>Настройка SEHO PRI</t>
  </si>
  <si>
    <t xml:space="preserve">нет батчей </t>
  </si>
  <si>
    <t>Проверка наличия, правильности установки, маркировки и полярности компонентов.</t>
  </si>
  <si>
    <t>Установка компонентов вручную</t>
  </si>
  <si>
    <t>набивка компонентов на селективную пайку</t>
  </si>
  <si>
    <t>Уборка линии</t>
  </si>
  <si>
    <t>Разрядка питателей Sec</t>
  </si>
  <si>
    <t>Гравировка</t>
  </si>
  <si>
    <t>Плюс гравировка</t>
  </si>
  <si>
    <t>Нанесение пасты</t>
  </si>
  <si>
    <t>Написание программы для SEHO SEC</t>
  </si>
  <si>
    <t>Операция отсутствует в маршруте</t>
  </si>
  <si>
    <t>Первая плата с линии, настройка программы</t>
  </si>
  <si>
    <t>ПУ 910-00134.B (A96 модуль 2CAN+2LIN)</t>
  </si>
  <si>
    <t>М15ECO (900-00030.С) 910-00034.C/910-00041.C</t>
  </si>
  <si>
    <t>Настройка линии Secondary</t>
  </si>
  <si>
    <t>Настойка первой платы на АОИ</t>
  </si>
  <si>
    <t>Настойка первой платы на АОИ PRI</t>
  </si>
  <si>
    <t>ПУ 910-00120.D - Печатный узел модуля 2CAN+LIN</t>
  </si>
  <si>
    <t>Настойка первой платы на АОИ SEC</t>
  </si>
  <si>
    <t>Смена 1 (20:00 - 8:00)</t>
  </si>
  <si>
    <t>Смена 1 (8:00 - 20:00)</t>
  </si>
  <si>
    <t>Отсутствие номера заказа</t>
  </si>
  <si>
    <t>Первая плата , настройка программы</t>
  </si>
  <si>
    <t>ожидание подачи азота и ответа от технолога</t>
  </si>
  <si>
    <t>Пайка по одной плате из-за смещения ванны</t>
  </si>
  <si>
    <t>В процессе пайки производили настройку + повторно прогоняли платы (было плохое смачивание разъёмов из-за проблемы с флюсом)</t>
  </si>
  <si>
    <t>Паяли в оснастке, которая в малом количестве. Работал один оператор</t>
  </si>
  <si>
    <t>Из-за смещения ванны паяли по одной плате. Работал один оператор</t>
  </si>
  <si>
    <t>915-00101.A - ПКД-9В АСЛБ.467249.107 (Квант)</t>
  </si>
  <si>
    <t>Освобождение буфера, вручную приходилось подталкивать платы в принтер.</t>
  </si>
  <si>
    <t>Долгая маркировка + приходится вручную подталкивать платы в принтер</t>
  </si>
  <si>
    <t>Настройка принтера Pri</t>
  </si>
  <si>
    <t>ИПТ-СА-А1R-л (Гефест)</t>
  </si>
  <si>
    <t>Настройка программы и первые платы.</t>
  </si>
  <si>
    <t>Ошибка батча</t>
  </si>
  <si>
    <t>Комментарий в задаче</t>
  </si>
  <si>
    <t>Расстановка ежей</t>
  </si>
  <si>
    <t>Дважды</t>
  </si>
  <si>
    <t>XR (OÜ KLARBERG)</t>
  </si>
  <si>
    <t>XR (Термотроник)</t>
  </si>
  <si>
    <t>отмывка плат</t>
  </si>
  <si>
    <t>Настройка маркировщика, настройка принтера</t>
  </si>
  <si>
    <t>В установщик платы заезжали без считывания баркода.</t>
  </si>
  <si>
    <t>UKLSiP(S)220_v3.00</t>
  </si>
  <si>
    <t>Ожидание освобождения буфера</t>
  </si>
  <si>
    <t>установка мелких компонентов из россыпи вручную</t>
  </si>
  <si>
    <t>установка компонентов вручную, настройка параметров печи, поднастройка принтера</t>
  </si>
  <si>
    <t>Выполнение технологических задач</t>
  </si>
  <si>
    <t>ПУ N11 910-00188.B</t>
  </si>
  <si>
    <t>ПУ M66</t>
  </si>
  <si>
    <t>гравировка</t>
  </si>
  <si>
    <t>ПУ модуля A96 GSM+BT (910-00230.A)</t>
  </si>
  <si>
    <t>910-00139.C П/у модуля запуска A96 , производство П5</t>
  </si>
  <si>
    <t>Проверка программы установщиков</t>
  </si>
  <si>
    <t>Написание программы для SEHO PRI</t>
  </si>
  <si>
    <t>зарядка компонентов из пакетов и подклеивание хвостиков</t>
  </si>
  <si>
    <t>915-00068.A - uklsip(s)220_v3.01 (Гефест)</t>
  </si>
  <si>
    <t>Написание программы для АОИ PRI</t>
  </si>
  <si>
    <t>915-00056.A - Модуль TC (Энергосервис)</t>
  </si>
  <si>
    <t>Настройка треев</t>
  </si>
  <si>
    <t xml:space="preserve"> работал один оператор</t>
  </si>
  <si>
    <t>Создание программы для NPM</t>
  </si>
  <si>
    <t>Отладка программы</t>
  </si>
  <si>
    <t>Проблемы с нозлом</t>
  </si>
  <si>
    <t>AOI Modus</t>
  </si>
  <si>
    <t>Организационные работы</t>
  </si>
  <si>
    <t>Пересмотр и ремонт E96 4 LIN</t>
  </si>
  <si>
    <t>+ Проверка 1 ПП</t>
  </si>
  <si>
    <t>Плюс ремонт USB</t>
  </si>
  <si>
    <t>Ошибка самодиагностики ICT</t>
  </si>
  <si>
    <t>Раскладка компонентов по столам, позициям+зарядка</t>
  </si>
  <si>
    <t>Написание инструкции</t>
  </si>
  <si>
    <t>Отладка программы на AOI PRI</t>
  </si>
  <si>
    <t>Отладка программы на AOI SEC</t>
  </si>
  <si>
    <t>Написание программы для АОИ SEC</t>
  </si>
  <si>
    <t>Подготовка компонентов к зарядке</t>
  </si>
  <si>
    <t>IKZ_35_v1_1-ANALOG (Антракс)</t>
  </si>
  <si>
    <t>Плюс наращивание</t>
  </si>
  <si>
    <t>Подготовка компонентов к пайке</t>
  </si>
  <si>
    <t>Плюс написание актов о забраковке</t>
  </si>
  <si>
    <t>Производили корретировку настроек компонентов</t>
  </si>
  <si>
    <t>Непропаи разъемов</t>
  </si>
  <si>
    <t>Работал один оператор</t>
  </si>
  <si>
    <t>Ошибка занесения</t>
  </si>
  <si>
    <t>ПУ 910-00270.A Узел резервирования питания для E/S96</t>
  </si>
  <si>
    <t>ES96 MIC , производство П5</t>
  </si>
  <si>
    <t>шарики припоя,непропай, отсутствующие компоненты</t>
  </si>
  <si>
    <t>ПУ основного блока E96 BT</t>
  </si>
  <si>
    <t>Проверка программы на АОИ PRI</t>
  </si>
  <si>
    <t>Помимо проверки мелкий ремонт</t>
  </si>
  <si>
    <t xml:space="preserve">обучение по написанию программ на Модусе </t>
  </si>
  <si>
    <t xml:space="preserve">Обучение Егорова .А на АОИ (проверка программы) </t>
  </si>
  <si>
    <t>Плюс ремонт</t>
  </si>
  <si>
    <t>Половину времени работал один сотрудник</t>
  </si>
  <si>
    <t>Разрядка питателей Prim</t>
  </si>
  <si>
    <t>разрядка,чек ин</t>
  </si>
  <si>
    <t>Наклон разъемов и транзисторов</t>
  </si>
  <si>
    <t>мойка плат</t>
  </si>
  <si>
    <t>дважды</t>
  </si>
  <si>
    <t>Настройка линии</t>
  </si>
  <si>
    <t>Проверка первой платы после пайки</t>
  </si>
  <si>
    <t>Modus</t>
  </si>
  <si>
    <t xml:space="preserve">Обучение по созданию программы на Модусе </t>
  </si>
  <si>
    <t>Занесение плат в Аегис</t>
  </si>
  <si>
    <t>910-00139.C П/у модуля запуска A96, производство П5</t>
  </si>
  <si>
    <t>КТ-500 (Производственный Альянс)</t>
  </si>
  <si>
    <t>Формовка компонентов</t>
  </si>
  <si>
    <t>Непропай одного контакта на красном разъёме</t>
  </si>
  <si>
    <t>пайка за монтажный участок</t>
  </si>
  <si>
    <t>Проверка участка после смены</t>
  </si>
  <si>
    <t>уборка линии, отключение</t>
  </si>
  <si>
    <t>PYEA.466256.004.MB (ИСТ)</t>
  </si>
  <si>
    <t>Шарики припоя, непропаи на длинном разъеме</t>
  </si>
  <si>
    <t>Наклон разъемов, отсутствие микрофона, шарики</t>
  </si>
  <si>
    <t>Настройка MODUS</t>
  </si>
  <si>
    <t>Отсутствие компонента, непропай разъемов.</t>
  </si>
  <si>
    <t>Нехватка оснастки</t>
  </si>
  <si>
    <t>очистка шариков</t>
  </si>
  <si>
    <t>Очистка от шариков + визуальный осмотр разъёмов</t>
  </si>
  <si>
    <t>Сборка 5 заготовок</t>
  </si>
  <si>
    <t>Забивался платами буфер перед Modus</t>
  </si>
  <si>
    <t>Пайка в оснастке</t>
  </si>
  <si>
    <t>Компоненты + треи</t>
  </si>
  <si>
    <t>Проблемы с занесением</t>
  </si>
  <si>
    <t>Наклон разъемов, шарики припоя</t>
  </si>
  <si>
    <t>Шарики припоя</t>
  </si>
  <si>
    <t>Непропаи разных компонентов. Не более 5 штук на плате.</t>
  </si>
  <si>
    <t>Шарики припоя, непропай диодов. В малых количествах (1-3 шт. на заготовке)</t>
  </si>
  <si>
    <t>Шарик припоя</t>
  </si>
  <si>
    <t>Временами работал один оператор. В процессе сборки производили настройку компонентов. Во время сборки с конвейера телескопического упало две заготовки. Одну заготовку повторно собирали на установщиках.</t>
  </si>
  <si>
    <t>шарики припоя,непропай.</t>
  </si>
  <si>
    <t>Настройка маркировщика</t>
  </si>
  <si>
    <t>Шарики припоя, непропай разъема</t>
  </si>
  <si>
    <t>непропай</t>
  </si>
  <si>
    <t xml:space="preserve">нет батча </t>
  </si>
  <si>
    <t xml:space="preserve">Операция прописана для ручного монтажа </t>
  </si>
  <si>
    <t>915-00111.A - ПБУИК-37В-01 АСЛБ.465122.013-01 (Квант)</t>
  </si>
  <si>
    <t>ReviewStation sec</t>
  </si>
  <si>
    <t>Непропай USB, копланарность разъемов.</t>
  </si>
  <si>
    <t>Непропаи и нагробные камни</t>
  </si>
  <si>
    <t>Проблема описана в задаче</t>
  </si>
  <si>
    <t>В процессе сборки заполнялся буфер платами.</t>
  </si>
  <si>
    <t>Пайка в оснастке.</t>
  </si>
  <si>
    <t>ремонт после аои модус</t>
  </si>
  <si>
    <t>Ремонт+ очистка шариков</t>
  </si>
  <si>
    <t>плохое протекание, непропай</t>
  </si>
  <si>
    <t>Визуально + мелкий ремонт</t>
  </si>
  <si>
    <t>Муртищева Ольга Валентиновна</t>
  </si>
  <si>
    <t>В процессе пайки заполнялся буфер платами</t>
  </si>
  <si>
    <t>Сортировка</t>
  </si>
  <si>
    <t>Замыкания на транзисторе</t>
  </si>
  <si>
    <t>Проверка программы на АОИ</t>
  </si>
  <si>
    <t>Проверка программы на АОИ SEC</t>
  </si>
  <si>
    <t>Исправление координат  смещенных компонентов</t>
  </si>
  <si>
    <t>коментарий в задаче #3622</t>
  </si>
  <si>
    <t>не пропай С27, C26, C44, C83; шарики припоя</t>
  </si>
  <si>
    <t>шарики DD2, XS2, XS1.</t>
  </si>
  <si>
    <t>DD2, AN1-шарики. DD1 - непропаи, подъемы, XS2 XS3 смещение, шарики C24 C25 смещение MC1 надгробный камень</t>
  </si>
  <si>
    <t>не заносилось автоматически</t>
  </si>
  <si>
    <t>Шарики на компонентах XS1, XS2</t>
  </si>
  <si>
    <t>Непропай разъема и светодиода.</t>
  </si>
  <si>
    <t>надгробные камни,отсутствующие компоненты,непропай</t>
  </si>
  <si>
    <t>Шарики припоя, непропай.</t>
  </si>
  <si>
    <t>шарики припоя,плохая пайка,смещение.</t>
  </si>
  <si>
    <t>шарики припоя,смещение,непропай</t>
  </si>
  <si>
    <t>отсутствуют компоненты</t>
  </si>
  <si>
    <t>шарики припоя</t>
  </si>
  <si>
    <t>шарики припоя.приподнятый компонент.</t>
  </si>
  <si>
    <t xml:space="preserve">только маркировка заносится </t>
  </si>
  <si>
    <t>Описано в задаче</t>
  </si>
  <si>
    <t>915-00096.A - ПКД-8В-2 АСЛБ.467249.109 (Квант)</t>
  </si>
  <si>
    <t>настройка нанесения пасты(недоборы,шарики).</t>
  </si>
  <si>
    <t>AOI</t>
  </si>
  <si>
    <t>смещение,непропай</t>
  </si>
  <si>
    <t>Создание программы для AOI PRI</t>
  </si>
  <si>
    <t>Создание программы для AOI SEC</t>
  </si>
  <si>
    <t>Доделывание программы</t>
  </si>
  <si>
    <t>Установка винтов</t>
  </si>
  <si>
    <t>Сканирование заготовок ("Завершение стадии")</t>
  </si>
  <si>
    <t>+верификация</t>
  </si>
  <si>
    <t>В процессе сборки производили настройки компонентов.
А также техник-технолог производил поднастройки печи принтера + эксперимент со сменой типа пасты.</t>
  </si>
  <si>
    <t>Приклейка скотча на конденсатор + отладка программы</t>
  </si>
  <si>
    <t>Работатл один оператор</t>
  </si>
  <si>
    <t>Установка компонентов  на платы (ручная) PRI</t>
  </si>
  <si>
    <t>Выключение ТНТ линии. Снятие нозлов, уборка инструмента, выключение оборудования</t>
  </si>
  <si>
    <t>Ожидание освобождение буфера + перерыв между NG платми и GOOD платами.</t>
  </si>
  <si>
    <t>Работал один сотрулник. Пайка в одной оснастке</t>
  </si>
  <si>
    <t>сборка нового изделия,настройка сборки</t>
  </si>
  <si>
    <t>в задаче</t>
  </si>
  <si>
    <t>ПУ модуля индикация i95</t>
  </si>
  <si>
    <t>проблемы с заливкой шелкографии в DGS</t>
  </si>
  <si>
    <t>915-00122.A - Модуль EDIC 0.1.0 (Эррайвал)</t>
  </si>
  <si>
    <t>проблема с заливкой шелкографии</t>
  </si>
  <si>
    <t>Пересмотр на ICT</t>
  </si>
  <si>
    <t>ПУ M18 PRO</t>
  </si>
  <si>
    <t>Печать карточек клиента M18 PRO</t>
  </si>
  <si>
    <t>Ремонт упавшей заготовки</t>
  </si>
  <si>
    <t>Формовка компонетов</t>
  </si>
  <si>
    <t>Установка компонентов  на платы (ручная) SEC</t>
  </si>
  <si>
    <t>Работал один оператор. Он же занимался фармовкой,набивкой,пайков,проверкой на модусе</t>
  </si>
  <si>
    <t xml:space="preserve">шарики </t>
  </si>
  <si>
    <t>шарики,отсутствуют компоненты</t>
  </si>
  <si>
    <t>смещение</t>
  </si>
  <si>
    <t>Наращивание комплектации</t>
  </si>
  <si>
    <t>настройка нанесения пасты (непропай DD1).</t>
  </si>
  <si>
    <t>Ожидание проверки плат на AOI</t>
  </si>
  <si>
    <t>Ревью</t>
  </si>
  <si>
    <t>нет батча</t>
  </si>
  <si>
    <t>Aegis</t>
  </si>
  <si>
    <t>Плюс ремонт и очистка от шариков</t>
  </si>
  <si>
    <t>Плюс мелкий ремонт</t>
  </si>
  <si>
    <t xml:space="preserve">не заносится </t>
  </si>
  <si>
    <t>Не дотягивается датчик, автоматически не заносится</t>
  </si>
  <si>
    <t>DPC612-LB (Depo)</t>
  </si>
  <si>
    <t xml:space="preserve">Проведение ежемесячной аттестации операторов </t>
  </si>
  <si>
    <t>настройка питателей, установка компонентов руками, не работает 5ст установщика.</t>
  </si>
  <si>
    <t>шарики припоя, смещение</t>
  </si>
  <si>
    <t>простой из за большого количества шариков,технолог не смог исправить</t>
  </si>
  <si>
    <t>Излишки припоя ввиде шариков.</t>
  </si>
  <si>
    <t xml:space="preserve">Настройка устаоновщиков для снижения сброса и корректной работы. </t>
  </si>
  <si>
    <t>Паял и проверял на модусе Один человек</t>
  </si>
  <si>
    <t>Паял и проверял на модусе один оператор</t>
  </si>
  <si>
    <t>Брак ленты 1014280 частые ошибки. Двое в отпуске.</t>
  </si>
  <si>
    <t>Шарики припоя, смещение компонентов</t>
  </si>
  <si>
    <t>шарики,смешение.</t>
  </si>
  <si>
    <t>915-00129.A - МП AQC622FW-1 (Аквариус) в ТС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</si>
</sst>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Roboto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5EEFF"/>
        <bgColor rgb="FFE5EEFF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3" fontId="2" numFmtId="1" xfId="0" applyAlignment="1" applyBorder="1" applyFont="1" applyNumberFormat="1">
      <alignment horizontal="center" shrinkToFit="0" textRotation="0" vertical="center" wrapText="1"/>
    </xf>
    <xf borderId="1" fillId="3" fontId="2" numFmtId="10" xfId="0" applyAlignment="1" applyBorder="1" applyFont="1" applyNumberFormat="1">
      <alignment horizontal="center" shrinkToFit="0" vertical="center" wrapText="1"/>
    </xf>
    <xf borderId="1" fillId="3" fontId="2" numFmtId="0" xfId="0" applyAlignment="1" applyBorder="1" applyFont="1">
      <alignment horizontal="center" shrinkToFit="0" textRotation="90" vertical="center" wrapText="1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19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left"/>
    </xf>
    <xf borderId="0" fillId="0" fontId="1" numFmtId="10" xfId="0" applyAlignment="1" applyFont="1" applyNumberFormat="1">
      <alignment horizontal="center" shrinkToFit="0" wrapText="1"/>
    </xf>
    <xf borderId="0" fillId="0" fontId="1" numFmtId="10" xfId="0" applyAlignment="1" applyFont="1" applyNumberFormat="1">
      <alignment horizontal="center"/>
    </xf>
    <xf borderId="0" fillId="0" fontId="1" numFmtId="0" xfId="0" applyAlignment="1" applyFont="1">
      <alignment horizontal="center" shrinkToFit="0" vertical="center" wrapText="1"/>
    </xf>
    <xf borderId="0" fillId="0" fontId="1" numFmtId="1" xfId="0" applyAlignment="1" applyFont="1" applyNumberFormat="1">
      <alignment readingOrder="0" shrinkToFit="0" wrapText="1"/>
    </xf>
    <xf borderId="0" fillId="0" fontId="1" numFmtId="0" xfId="0" applyAlignment="1" applyFont="1">
      <alignment horizontal="center" readingOrder="0"/>
    </xf>
    <xf borderId="0" fillId="0" fontId="1" numFmtId="14" xfId="0" applyAlignment="1" applyFont="1" applyNumberFormat="1">
      <alignment horizontal="center" readingOrder="0"/>
    </xf>
    <xf borderId="0" fillId="0" fontId="1" numFmtId="19" xfId="0" applyAlignment="1" applyFont="1" applyNumberFormat="1">
      <alignment horizontal="center" readingOrder="0"/>
    </xf>
    <xf borderId="0" fillId="0" fontId="1" numFmtId="1" xfId="0" applyAlignment="1" applyFont="1" applyNumberForma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wrapText="1"/>
    </xf>
    <xf borderId="0" fillId="0" fontId="1" numFmtId="21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4" fontId="3" numFmtId="0" xfId="0" applyAlignment="1" applyFill="1" applyFont="1">
      <alignment readingOrder="0"/>
    </xf>
    <xf borderId="0" fillId="0" fontId="1" numFmtId="0" xfId="0" applyAlignment="1" applyFont="1">
      <alignment horizontal="center" readingOrder="0" shrinkToFit="0" vertical="bottom" wrapText="1"/>
    </xf>
    <xf borderId="0" fillId="4" fontId="4" numFmtId="0" xfId="0" applyAlignment="1" applyFont="1">
      <alignment horizontal="left" readingOrder="0"/>
    </xf>
    <xf borderId="0" fillId="0" fontId="1" numFmtId="10" xfId="0" applyAlignment="1" applyFont="1" applyNumberFormat="1">
      <alignment horizontal="center" readingOrder="0"/>
    </xf>
    <xf borderId="0" fillId="0" fontId="1" numFmtId="164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14" xfId="0" applyAlignment="1" applyFont="1" applyNumberFormat="1">
      <alignment readingOrder="0" shrinkToFit="0" wrapText="1"/>
    </xf>
    <xf borderId="0" fillId="0" fontId="1" numFmtId="19" xfId="0" applyAlignment="1" applyFont="1" applyNumberFormat="1">
      <alignment readingOrder="0" shrinkToFit="0" wrapText="1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left" shrinkToFit="0" vertical="center" wrapText="1"/>
    </xf>
    <xf borderId="1" fillId="3" fontId="2" numFmtId="0" xfId="0" applyAlignment="1" applyBorder="1" applyFont="1">
      <alignment horizontal="center" vertical="center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 outlineLevelCol="1"/>
  <cols>
    <col customWidth="1" min="1" max="1" width="18.57"/>
    <col collapsed="1" customWidth="1" min="2" max="2" width="20.57"/>
    <col customWidth="1" hidden="1" min="3" max="3" width="12.29" outlineLevel="1"/>
    <col collapsed="1" customWidth="1" min="4" max="4" width="8.43"/>
    <col customWidth="1" hidden="1" min="5" max="5" width="36.14" outlineLevel="1"/>
    <col customWidth="1" hidden="1" min="6" max="6" width="34.71" outlineLevel="1"/>
    <col customWidth="1" min="7" max="7" width="8.29"/>
    <col collapsed="1" customWidth="1" min="8" max="8" width="14.43"/>
    <col customWidth="1" hidden="1" min="9" max="11" width="21.57" outlineLevel="1"/>
    <col customWidth="1" min="12" max="12" width="9.29"/>
    <col customWidth="1" min="13" max="13" width="14.14"/>
    <col customWidth="1" min="14" max="14" width="7.71"/>
    <col customWidth="1" min="15" max="15" width="10.86"/>
    <col customWidth="1" min="16" max="16" width="11.43"/>
    <col customWidth="1" min="17" max="17" width="11.29"/>
    <col customWidth="1" min="18" max="18" width="41.86"/>
    <col customWidth="1" min="19" max="19" width="37.86"/>
    <col customWidth="1" min="20" max="20" width="62.86"/>
    <col customWidth="1" min="21" max="21" width="9.71"/>
    <col customWidth="1" min="22" max="22" width="9.57"/>
    <col customWidth="1" min="23" max="23" width="19.71"/>
    <col customWidth="1" min="24" max="24" width="21.0"/>
    <col customWidth="1" min="25" max="25" width="10.71"/>
    <col customWidth="1" min="26" max="26" width="41.57"/>
  </cols>
  <sheetData>
    <row r="1" ht="105.0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5" t="s">
        <v>23</v>
      </c>
      <c r="Y1" s="6" t="s">
        <v>24</v>
      </c>
      <c r="Z1" s="3" t="s">
        <v>25</v>
      </c>
    </row>
    <row r="2" hidden="1">
      <c r="A2" s="7">
        <v>44129.83619209491</v>
      </c>
      <c r="B2" s="8" t="s">
        <v>26</v>
      </c>
      <c r="C2" s="8">
        <v>21475.0</v>
      </c>
      <c r="D2" s="8" t="s">
        <v>27</v>
      </c>
      <c r="E2" s="8" t="s">
        <v>28</v>
      </c>
      <c r="G2" s="8">
        <v>3621.0</v>
      </c>
      <c r="H2" s="8" t="s">
        <v>29</v>
      </c>
      <c r="I2" s="8" t="s">
        <v>30</v>
      </c>
      <c r="L2" s="8" t="s">
        <v>31</v>
      </c>
      <c r="M2" s="8" t="s">
        <v>32</v>
      </c>
      <c r="P2" s="9">
        <v>44129.0</v>
      </c>
      <c r="Q2" s="10">
        <v>0.1875</v>
      </c>
      <c r="R2" s="11" t="str">
        <f t="shared" ref="R2:R1746" si="1">CONCATENATE(E2,,F2)</f>
        <v>Выполнение дополнительных работ на линии</v>
      </c>
      <c r="S2" s="12" t="str">
        <f>iferror(VLOOKUP(C2,'ФИО'!A:B,2,0),"учётный код не найден")</f>
        <v>Байрамашвили Альберт Зурабович</v>
      </c>
      <c r="T2" s="13" t="str">
        <f t="shared" ref="T2:T1551" si="2">CONCATENATE(I2,J2,K2)</f>
        <v>915-00121.A - Процессорный модуль РСЕН.469555.027 (КНС Групп) в ТС</v>
      </c>
      <c r="U2" s="8">
        <v>0.0</v>
      </c>
      <c r="V2" s="8">
        <v>0.0</v>
      </c>
      <c r="X2" s="14" t="str">
        <f t="shared" ref="X2:X69" si="3">IFERROR((((V2+U2)/Q2)/24)/(W2/11),"Данные не заполены")</f>
        <v>Данные не заполены</v>
      </c>
      <c r="Y2" s="15">
        <f t="shared" ref="Y2:Y69" si="4">iferror((V2/if(U2=0,1,U2)),0)</f>
        <v>0</v>
      </c>
    </row>
    <row r="3" hidden="1">
      <c r="A3" s="7">
        <v>44120.825719988425</v>
      </c>
      <c r="B3" s="8" t="s">
        <v>26</v>
      </c>
      <c r="C3" s="8">
        <v>21475.0</v>
      </c>
      <c r="D3" s="8" t="s">
        <v>27</v>
      </c>
      <c r="E3" s="8" t="s">
        <v>28</v>
      </c>
      <c r="G3" s="8">
        <v>3649.0</v>
      </c>
      <c r="H3" s="8" t="s">
        <v>29</v>
      </c>
      <c r="I3" s="8" t="s">
        <v>33</v>
      </c>
      <c r="L3" s="8" t="s">
        <v>31</v>
      </c>
      <c r="M3" s="8" t="s">
        <v>34</v>
      </c>
      <c r="P3" s="9">
        <v>44120.0</v>
      </c>
      <c r="Q3" s="10">
        <v>0.16666666666424135</v>
      </c>
      <c r="R3" s="11" t="str">
        <f t="shared" si="1"/>
        <v>Выполнение дополнительных работ на линии</v>
      </c>
      <c r="S3" s="16" t="str">
        <f>iferror(VLOOKUP(C3,'ФИО'!A:B,2,0),"учётный код не найден")</f>
        <v>Байрамашвили Альберт Зурабович</v>
      </c>
      <c r="T3" s="13" t="str">
        <f t="shared" si="2"/>
        <v>ssfp2.2 (Метротек)</v>
      </c>
      <c r="U3" s="8">
        <v>0.0</v>
      </c>
      <c r="V3" s="8">
        <v>0.0</v>
      </c>
      <c r="W3" s="17" t="str">
        <f t="shared" ref="W3:W5" si="5">IFERROR((((38412/(ifs(O3&lt;35,35,O3&gt;34,O3)/N3)*0.7))),"Данные не заполены")</f>
        <v>Данные не заполены</v>
      </c>
      <c r="X3" s="14" t="str">
        <f t="shared" si="3"/>
        <v>Данные не заполены</v>
      </c>
      <c r="Y3" s="15">
        <f t="shared" si="4"/>
        <v>0</v>
      </c>
    </row>
    <row r="4" hidden="1">
      <c r="A4" s="7">
        <v>44105.834294699074</v>
      </c>
      <c r="B4" s="8" t="s">
        <v>26</v>
      </c>
      <c r="C4" s="8">
        <v>21475.0</v>
      </c>
      <c r="D4" s="18" t="s">
        <v>27</v>
      </c>
      <c r="E4" s="8" t="s">
        <v>35</v>
      </c>
      <c r="G4" s="11"/>
      <c r="L4" s="18" t="s">
        <v>31</v>
      </c>
      <c r="M4" s="8" t="s">
        <v>36</v>
      </c>
      <c r="N4" s="8"/>
      <c r="O4" s="8"/>
      <c r="P4" s="19">
        <v>44105.0</v>
      </c>
      <c r="Q4" s="20">
        <v>0.04166666666424135</v>
      </c>
      <c r="R4" s="13" t="str">
        <f t="shared" si="1"/>
        <v>Занесение в Aegis</v>
      </c>
      <c r="S4" s="16" t="str">
        <f>iferror(VLOOKUP(C4,'ФИО'!A:B,2,0),"учётный код не найден")</f>
        <v>Байрамашвили Альберт Зурабович</v>
      </c>
      <c r="T4" s="13" t="str">
        <f t="shared" si="2"/>
        <v/>
      </c>
      <c r="W4" s="21" t="str">
        <f t="shared" si="5"/>
        <v>Данные не заполены</v>
      </c>
      <c r="X4" s="15" t="str">
        <f t="shared" si="3"/>
        <v>Данные не заполены</v>
      </c>
      <c r="Y4" s="15">
        <f t="shared" si="4"/>
        <v>0</v>
      </c>
    </row>
    <row r="5" hidden="1">
      <c r="A5" s="7">
        <v>44105.83990777778</v>
      </c>
      <c r="B5" s="8" t="s">
        <v>26</v>
      </c>
      <c r="C5" s="8">
        <v>21475.0</v>
      </c>
      <c r="D5" s="18" t="s">
        <v>27</v>
      </c>
      <c r="E5" s="8" t="s">
        <v>35</v>
      </c>
      <c r="G5" s="11"/>
      <c r="L5" s="18" t="s">
        <v>37</v>
      </c>
      <c r="P5" s="19">
        <v>44105.0</v>
      </c>
      <c r="Q5" s="20">
        <v>0.020833333335758653</v>
      </c>
      <c r="R5" s="13" t="str">
        <f t="shared" si="1"/>
        <v>Занесение в Aegis</v>
      </c>
      <c r="S5" s="16" t="str">
        <f>iferror(VLOOKUP(C5,'ФИО'!A:B,2,0),"учётный код не найден")</f>
        <v>Байрамашвили Альберт Зурабович</v>
      </c>
      <c r="T5" s="13" t="str">
        <f t="shared" si="2"/>
        <v/>
      </c>
      <c r="W5" s="21" t="str">
        <f t="shared" si="5"/>
        <v>Данные не заполены</v>
      </c>
      <c r="X5" s="15" t="str">
        <f t="shared" si="3"/>
        <v>Данные не заполены</v>
      </c>
      <c r="Y5" s="15">
        <f t="shared" si="4"/>
        <v>0</v>
      </c>
    </row>
    <row r="6" hidden="1">
      <c r="A6" s="7">
        <v>44132.31299190973</v>
      </c>
      <c r="B6" s="8" t="s">
        <v>38</v>
      </c>
      <c r="C6" s="8">
        <v>21475.0</v>
      </c>
      <c r="D6" s="8" t="s">
        <v>27</v>
      </c>
      <c r="E6" s="8" t="s">
        <v>35</v>
      </c>
      <c r="L6" s="8" t="s">
        <v>37</v>
      </c>
      <c r="P6" s="9">
        <v>44131.0</v>
      </c>
      <c r="Q6" s="10">
        <v>0.0625</v>
      </c>
      <c r="R6" s="11" t="str">
        <f t="shared" si="1"/>
        <v>Занесение в Aegis</v>
      </c>
      <c r="S6" s="12" t="str">
        <f>iferror(VLOOKUP(C6,'ФИО'!A:B,2,0),"учётный код не найден")</f>
        <v>Байрамашвили Альберт Зурабович</v>
      </c>
      <c r="T6" s="13" t="str">
        <f t="shared" si="2"/>
        <v/>
      </c>
      <c r="X6" s="14" t="str">
        <f t="shared" si="3"/>
        <v>Данные не заполены</v>
      </c>
      <c r="Y6" s="15">
        <f t="shared" si="4"/>
        <v>0</v>
      </c>
    </row>
    <row r="7" hidden="1">
      <c r="A7" s="7">
        <v>44120.8196174537</v>
      </c>
      <c r="B7" s="8" t="s">
        <v>26</v>
      </c>
      <c r="C7" s="8">
        <v>21475.0</v>
      </c>
      <c r="D7" s="8" t="s">
        <v>27</v>
      </c>
      <c r="E7" s="8" t="s">
        <v>39</v>
      </c>
      <c r="G7" s="8">
        <v>3649.0</v>
      </c>
      <c r="H7" s="8" t="s">
        <v>29</v>
      </c>
      <c r="I7" s="8" t="s">
        <v>33</v>
      </c>
      <c r="L7" s="8" t="s">
        <v>31</v>
      </c>
      <c r="M7" s="8" t="s">
        <v>34</v>
      </c>
      <c r="P7" s="9">
        <v>44120.0</v>
      </c>
      <c r="Q7" s="10">
        <v>0.006944444445252884</v>
      </c>
      <c r="R7" s="11" t="str">
        <f t="shared" si="1"/>
        <v>Зарядка питателей Prim</v>
      </c>
      <c r="S7" s="16" t="str">
        <f>iferror(VLOOKUP(C7,'ФИО'!A:B,2,0),"учётный код не найден")</f>
        <v>Байрамашвили Альберт Зурабович</v>
      </c>
      <c r="T7" s="13" t="str">
        <f t="shared" si="2"/>
        <v>ssfp2.2 (Метротек)</v>
      </c>
      <c r="U7" s="8">
        <v>10.0</v>
      </c>
      <c r="V7" s="8">
        <v>0.0</v>
      </c>
      <c r="W7" s="17">
        <v>660.0</v>
      </c>
      <c r="X7" s="14">
        <f t="shared" si="3"/>
        <v>0.9999999999</v>
      </c>
      <c r="Y7" s="15">
        <f t="shared" si="4"/>
        <v>0</v>
      </c>
    </row>
    <row r="8" hidden="1">
      <c r="A8" s="7">
        <v>44120.820492175924</v>
      </c>
      <c r="B8" s="8" t="s">
        <v>26</v>
      </c>
      <c r="C8" s="8">
        <v>21475.0</v>
      </c>
      <c r="D8" s="8" t="s">
        <v>27</v>
      </c>
      <c r="E8" s="8" t="s">
        <v>40</v>
      </c>
      <c r="G8" s="8">
        <v>3649.0</v>
      </c>
      <c r="H8" s="8" t="s">
        <v>29</v>
      </c>
      <c r="I8" s="8" t="s">
        <v>33</v>
      </c>
      <c r="L8" s="8" t="s">
        <v>31</v>
      </c>
      <c r="M8" s="8" t="s">
        <v>34</v>
      </c>
      <c r="P8" s="9">
        <v>44120.0</v>
      </c>
      <c r="Q8" s="10">
        <v>0.006944444445252884</v>
      </c>
      <c r="R8" s="11" t="str">
        <f t="shared" si="1"/>
        <v>Зарядка питателей Sec</v>
      </c>
      <c r="S8" s="16" t="str">
        <f>iferror(VLOOKUP(C8,'ФИО'!A:B,2,0),"учётный код не найден")</f>
        <v>Байрамашвили Альберт Зурабович</v>
      </c>
      <c r="T8" s="13" t="str">
        <f t="shared" si="2"/>
        <v>ssfp2.2 (Метротек)</v>
      </c>
      <c r="U8" s="8">
        <v>10.0</v>
      </c>
      <c r="V8" s="8">
        <v>0.0</v>
      </c>
      <c r="W8" s="17">
        <v>660.0</v>
      </c>
      <c r="X8" s="14">
        <f t="shared" si="3"/>
        <v>0.9999999999</v>
      </c>
      <c r="Y8" s="15">
        <f t="shared" si="4"/>
        <v>0</v>
      </c>
    </row>
    <row r="9" hidden="1">
      <c r="A9" s="7">
        <v>44108.32841630787</v>
      </c>
      <c r="B9" s="8" t="s">
        <v>38</v>
      </c>
      <c r="C9" s="8">
        <v>21803.0</v>
      </c>
      <c r="D9" s="8" t="s">
        <v>27</v>
      </c>
      <c r="E9" s="8" t="s">
        <v>41</v>
      </c>
      <c r="G9" s="8">
        <v>3579.0</v>
      </c>
      <c r="H9" s="8" t="s">
        <v>29</v>
      </c>
      <c r="I9" s="8" t="s">
        <v>42</v>
      </c>
      <c r="L9" s="8" t="s">
        <v>31</v>
      </c>
      <c r="M9" s="8" t="s">
        <v>34</v>
      </c>
      <c r="N9" s="8"/>
      <c r="O9" s="8"/>
      <c r="P9" s="9">
        <v>44107.0</v>
      </c>
      <c r="Q9" s="10">
        <v>0.0034722222189884633</v>
      </c>
      <c r="R9" s="11" t="str">
        <f t="shared" si="1"/>
        <v>Верификация заказа Waggon (после сборки)</v>
      </c>
      <c r="S9" s="16" t="str">
        <f>iferror(VLOOKUP(C9,'ФИО'!A:B,2,0),"учётный код не найден")</f>
        <v>Белоглазова Виктория Сергеевна</v>
      </c>
      <c r="T9" s="13" t="str">
        <f t="shared" si="2"/>
        <v>915-00070.A - Модуль телематики ТМ1 v3 (Сознательные машины)</v>
      </c>
      <c r="U9" s="8">
        <v>50.0</v>
      </c>
      <c r="V9" s="8">
        <v>0.0</v>
      </c>
      <c r="W9" s="21" t="str">
        <f t="shared" ref="W9:W17" si="6">IFERROR((((38412/(ifs(O9&lt;35,35,O9&gt;34,O9)/N9)*0.7))),"Данные не заполены")</f>
        <v>Данные не заполены</v>
      </c>
      <c r="X9" s="15" t="str">
        <f t="shared" si="3"/>
        <v>Данные не заполены</v>
      </c>
      <c r="Y9" s="15">
        <f t="shared" si="4"/>
        <v>0</v>
      </c>
    </row>
    <row r="10" hidden="1">
      <c r="A10" s="7">
        <v>44112.81868231481</v>
      </c>
      <c r="B10" s="8" t="s">
        <v>26</v>
      </c>
      <c r="C10" s="8">
        <v>21803.0</v>
      </c>
      <c r="D10" s="8" t="s">
        <v>27</v>
      </c>
      <c r="E10" s="8" t="s">
        <v>41</v>
      </c>
      <c r="G10" s="8">
        <v>3238.0</v>
      </c>
      <c r="H10" s="8" t="s">
        <v>29</v>
      </c>
      <c r="I10" s="8" t="s">
        <v>43</v>
      </c>
      <c r="L10" s="8" t="s">
        <v>31</v>
      </c>
      <c r="M10" s="8" t="s">
        <v>34</v>
      </c>
      <c r="N10" s="8"/>
      <c r="O10" s="8"/>
      <c r="P10" s="9">
        <v>44112.0</v>
      </c>
      <c r="Q10" s="10">
        <v>0.004166666666666667</v>
      </c>
      <c r="R10" s="11" t="str">
        <f t="shared" si="1"/>
        <v>Верификация заказа Waggon (после сборки)</v>
      </c>
      <c r="S10" s="16" t="str">
        <f>iferror(VLOOKUP(C10,'ФИО'!A:B,2,0),"учётный код не найден")</f>
        <v>Белоглазова Виктория Сергеевна</v>
      </c>
      <c r="T10" s="13" t="str">
        <f t="shared" si="2"/>
        <v>915-00097.A - ПКД-8В-3 АСЛБ.467249.110 (Квант)</v>
      </c>
      <c r="U10" s="8">
        <v>60.0</v>
      </c>
      <c r="V10" s="8">
        <v>0.0</v>
      </c>
      <c r="W10" s="21" t="str">
        <f t="shared" si="6"/>
        <v>Данные не заполены</v>
      </c>
      <c r="X10" s="15" t="str">
        <f t="shared" si="3"/>
        <v>Данные не заполены</v>
      </c>
      <c r="Y10" s="15">
        <f t="shared" si="4"/>
        <v>0</v>
      </c>
      <c r="Z10" s="8" t="s">
        <v>44</v>
      </c>
    </row>
    <row r="11" hidden="1">
      <c r="A11" s="7">
        <v>44117.32466643519</v>
      </c>
      <c r="B11" s="8" t="s">
        <v>38</v>
      </c>
      <c r="C11" s="8">
        <v>21803.0</v>
      </c>
      <c r="D11" s="8" t="s">
        <v>27</v>
      </c>
      <c r="E11" s="8" t="s">
        <v>41</v>
      </c>
      <c r="G11" s="8">
        <v>3750.0</v>
      </c>
      <c r="H11" s="8" t="s">
        <v>45</v>
      </c>
      <c r="K11" s="8" t="s">
        <v>46</v>
      </c>
      <c r="L11" s="8" t="s">
        <v>31</v>
      </c>
      <c r="M11" s="8" t="s">
        <v>34</v>
      </c>
      <c r="N11" s="8"/>
      <c r="O11" s="8"/>
      <c r="P11" s="9">
        <v>44116.0</v>
      </c>
      <c r="Q11" s="10">
        <v>0.006944444445252884</v>
      </c>
      <c r="R11" s="11" t="str">
        <f t="shared" si="1"/>
        <v>Верификация заказа Waggon (после сборки)</v>
      </c>
      <c r="S11" s="16" t="str">
        <f>iferror(VLOOKUP(C11,'ФИО'!A:B,2,0),"учётный код не найден")</f>
        <v>Белоглазова Виктория Сергеевна</v>
      </c>
      <c r="T11" s="13" t="str">
        <f t="shared" si="2"/>
        <v>ПУ 910-00349.A "Печатный узел основного блока E96 4LIN"</v>
      </c>
      <c r="U11" s="8">
        <v>115.0</v>
      </c>
      <c r="V11" s="8">
        <v>0.0</v>
      </c>
      <c r="W11" s="21" t="str">
        <f t="shared" si="6"/>
        <v>Данные не заполены</v>
      </c>
      <c r="X11" s="15" t="str">
        <f t="shared" si="3"/>
        <v>Данные не заполены</v>
      </c>
      <c r="Y11" s="15">
        <f t="shared" si="4"/>
        <v>0</v>
      </c>
    </row>
    <row r="12" hidden="1">
      <c r="A12" s="7">
        <v>44105.81318831019</v>
      </c>
      <c r="B12" s="8" t="s">
        <v>26</v>
      </c>
      <c r="C12" s="8">
        <v>21803.0</v>
      </c>
      <c r="D12" s="18" t="s">
        <v>27</v>
      </c>
      <c r="E12" s="8" t="s">
        <v>47</v>
      </c>
      <c r="G12" s="18">
        <v>3579.0</v>
      </c>
      <c r="H12" s="8" t="s">
        <v>29</v>
      </c>
      <c r="I12" s="8" t="s">
        <v>42</v>
      </c>
      <c r="L12" s="18" t="s">
        <v>31</v>
      </c>
      <c r="M12" s="8" t="s">
        <v>34</v>
      </c>
      <c r="N12" s="8"/>
      <c r="O12" s="8"/>
      <c r="P12" s="19">
        <v>44105.0</v>
      </c>
      <c r="Q12" s="20">
        <v>0.013888888888888888</v>
      </c>
      <c r="R12" s="13" t="str">
        <f t="shared" si="1"/>
        <v>Верификация компонентов на линию</v>
      </c>
      <c r="S12" s="16" t="str">
        <f>iferror(VLOOKUP(C12,'ФИО'!A:B,2,0),"учётный код не найден")</f>
        <v>Белоглазова Виктория Сергеевна</v>
      </c>
      <c r="T12" s="13" t="str">
        <f t="shared" si="2"/>
        <v>915-00070.A - Модуль телематики ТМ1 v3 (Сознательные машины)</v>
      </c>
      <c r="U12" s="8">
        <v>40.0</v>
      </c>
      <c r="V12" s="8">
        <v>0.0</v>
      </c>
      <c r="W12" s="21" t="str">
        <f t="shared" si="6"/>
        <v>Данные не заполены</v>
      </c>
      <c r="X12" s="15" t="str">
        <f t="shared" si="3"/>
        <v>Данные не заполены</v>
      </c>
      <c r="Y12" s="15">
        <f t="shared" si="4"/>
        <v>0</v>
      </c>
    </row>
    <row r="13" hidden="1">
      <c r="A13" s="7">
        <v>44105.825396342596</v>
      </c>
      <c r="B13" s="8" t="s">
        <v>26</v>
      </c>
      <c r="C13" s="8">
        <v>21803.0</v>
      </c>
      <c r="D13" s="18" t="s">
        <v>27</v>
      </c>
      <c r="E13" s="8" t="s">
        <v>48</v>
      </c>
      <c r="G13" s="11"/>
      <c r="L13" s="18" t="s">
        <v>31</v>
      </c>
      <c r="M13" s="8" t="s">
        <v>34</v>
      </c>
      <c r="N13" s="8"/>
      <c r="O13" s="8"/>
      <c r="P13" s="19">
        <v>44105.0</v>
      </c>
      <c r="Q13" s="20">
        <v>0.06944444444444445</v>
      </c>
      <c r="R13" s="13" t="str">
        <f t="shared" si="1"/>
        <v>Выполнение организационных работ</v>
      </c>
      <c r="S13" s="16" t="str">
        <f>iferror(VLOOKUP(C13,'ФИО'!A:B,2,0),"учётный код не найден")</f>
        <v>Белоглазова Виктория Сергеевна</v>
      </c>
      <c r="T13" s="13" t="str">
        <f t="shared" si="2"/>
        <v/>
      </c>
      <c r="W13" s="21" t="str">
        <f t="shared" si="6"/>
        <v>Данные не заполены</v>
      </c>
      <c r="X13" s="15" t="str">
        <f t="shared" si="3"/>
        <v>Данные не заполены</v>
      </c>
      <c r="Y13" s="15">
        <f t="shared" si="4"/>
        <v>0</v>
      </c>
    </row>
    <row r="14" hidden="1">
      <c r="A14" s="7">
        <v>44108.331597592594</v>
      </c>
      <c r="B14" s="8" t="s">
        <v>38</v>
      </c>
      <c r="C14" s="8">
        <v>21803.0</v>
      </c>
      <c r="D14" s="8" t="s">
        <v>27</v>
      </c>
      <c r="E14" s="8" t="s">
        <v>48</v>
      </c>
      <c r="L14" s="8" t="s">
        <v>31</v>
      </c>
      <c r="M14" s="8" t="s">
        <v>34</v>
      </c>
      <c r="N14" s="8"/>
      <c r="O14" s="8"/>
      <c r="P14" s="9">
        <v>44107.0</v>
      </c>
      <c r="Q14" s="10">
        <v>0.04166666666424135</v>
      </c>
      <c r="R14" s="11" t="str">
        <f t="shared" si="1"/>
        <v>Выполнение организационных работ</v>
      </c>
      <c r="S14" s="16" t="str">
        <f>iferror(VLOOKUP(C14,'ФИО'!A:B,2,0),"учётный код не найден")</f>
        <v>Белоглазова Виктория Сергеевна</v>
      </c>
      <c r="T14" s="13" t="str">
        <f t="shared" si="2"/>
        <v/>
      </c>
      <c r="W14" s="21" t="str">
        <f t="shared" si="6"/>
        <v>Данные не заполены</v>
      </c>
      <c r="X14" s="15" t="str">
        <f t="shared" si="3"/>
        <v>Данные не заполены</v>
      </c>
      <c r="Y14" s="15">
        <f t="shared" si="4"/>
        <v>0</v>
      </c>
    </row>
    <row r="15" hidden="1">
      <c r="A15" s="7">
        <v>44109.31902594907</v>
      </c>
      <c r="B15" s="8" t="s">
        <v>38</v>
      </c>
      <c r="C15" s="8">
        <v>21803.0</v>
      </c>
      <c r="D15" s="8" t="s">
        <v>27</v>
      </c>
      <c r="E15" s="8" t="s">
        <v>48</v>
      </c>
      <c r="L15" s="8" t="s">
        <v>31</v>
      </c>
      <c r="M15" s="8" t="s">
        <v>34</v>
      </c>
      <c r="N15" s="8"/>
      <c r="O15" s="8"/>
      <c r="P15" s="9">
        <v>44108.0</v>
      </c>
      <c r="Q15" s="10">
        <v>0.020833333335758653</v>
      </c>
      <c r="R15" s="11" t="str">
        <f t="shared" si="1"/>
        <v>Выполнение организационных работ</v>
      </c>
      <c r="S15" s="16" t="str">
        <f>iferror(VLOOKUP(C15,'ФИО'!A:B,2,0),"учётный код не найден")</f>
        <v>Белоглазова Виктория Сергеевна</v>
      </c>
      <c r="T15" s="13" t="str">
        <f t="shared" si="2"/>
        <v/>
      </c>
      <c r="W15" s="21" t="str">
        <f t="shared" si="6"/>
        <v>Данные не заполены</v>
      </c>
      <c r="X15" s="15" t="str">
        <f t="shared" si="3"/>
        <v>Данные не заполены</v>
      </c>
      <c r="Y15" s="15">
        <f t="shared" si="4"/>
        <v>0</v>
      </c>
    </row>
    <row r="16" hidden="1">
      <c r="A16" s="7">
        <v>44112.82095347223</v>
      </c>
      <c r="B16" s="8" t="s">
        <v>26</v>
      </c>
      <c r="C16" s="8">
        <v>21803.0</v>
      </c>
      <c r="D16" s="8" t="s">
        <v>27</v>
      </c>
      <c r="E16" s="8" t="s">
        <v>48</v>
      </c>
      <c r="L16" s="8" t="s">
        <v>31</v>
      </c>
      <c r="M16" s="8" t="s">
        <v>34</v>
      </c>
      <c r="N16" s="8"/>
      <c r="O16" s="8"/>
      <c r="P16" s="9">
        <v>44112.0</v>
      </c>
      <c r="Q16" s="10">
        <v>0.10416666666424135</v>
      </c>
      <c r="R16" s="11" t="str">
        <f t="shared" si="1"/>
        <v>Выполнение организационных работ</v>
      </c>
      <c r="S16" s="16" t="str">
        <f>iferror(VLOOKUP(C16,'ФИО'!A:B,2,0),"учётный код не найден")</f>
        <v>Белоглазова Виктория Сергеевна</v>
      </c>
      <c r="T16" s="13" t="str">
        <f t="shared" si="2"/>
        <v/>
      </c>
      <c r="W16" s="21" t="str">
        <f t="shared" si="6"/>
        <v>Данные не заполены</v>
      </c>
      <c r="X16" s="15" t="str">
        <f t="shared" si="3"/>
        <v>Данные не заполены</v>
      </c>
      <c r="Y16" s="15">
        <f t="shared" si="4"/>
        <v>0</v>
      </c>
    </row>
    <row r="17" hidden="1">
      <c r="A17" s="7">
        <v>44113.81781167824</v>
      </c>
      <c r="B17" s="8" t="s">
        <v>26</v>
      </c>
      <c r="C17" s="8">
        <v>21803.0</v>
      </c>
      <c r="D17" s="8" t="s">
        <v>27</v>
      </c>
      <c r="E17" s="8" t="s">
        <v>48</v>
      </c>
      <c r="L17" s="8" t="s">
        <v>31</v>
      </c>
      <c r="M17" s="8" t="s">
        <v>34</v>
      </c>
      <c r="N17" s="8"/>
      <c r="O17" s="8"/>
      <c r="P17" s="9">
        <v>44113.0</v>
      </c>
      <c r="Q17" s="10">
        <v>0.0625</v>
      </c>
      <c r="R17" s="11" t="str">
        <f t="shared" si="1"/>
        <v>Выполнение организационных работ</v>
      </c>
      <c r="S17" s="16" t="str">
        <f>iferror(VLOOKUP(C17,'ФИО'!A:B,2,0),"учётный код не найден")</f>
        <v>Белоглазова Виктория Сергеевна</v>
      </c>
      <c r="T17" s="13" t="str">
        <f t="shared" si="2"/>
        <v/>
      </c>
      <c r="W17" s="21" t="str">
        <f t="shared" si="6"/>
        <v>Данные не заполены</v>
      </c>
      <c r="X17" s="15" t="str">
        <f t="shared" si="3"/>
        <v>Данные не заполены</v>
      </c>
      <c r="Y17" s="15">
        <f t="shared" si="4"/>
        <v>0</v>
      </c>
    </row>
    <row r="18" hidden="1">
      <c r="A18" s="7">
        <v>44125.31581189815</v>
      </c>
      <c r="B18" s="8" t="s">
        <v>38</v>
      </c>
      <c r="C18" s="8">
        <v>21803.0</v>
      </c>
      <c r="D18" s="8" t="s">
        <v>27</v>
      </c>
      <c r="E18" s="8" t="s">
        <v>48</v>
      </c>
      <c r="L18" s="8" t="s">
        <v>31</v>
      </c>
      <c r="M18" s="8" t="s">
        <v>34</v>
      </c>
      <c r="P18" s="9">
        <v>44124.0</v>
      </c>
      <c r="Q18" s="10">
        <v>0.14583333333575865</v>
      </c>
      <c r="R18" s="11" t="str">
        <f t="shared" si="1"/>
        <v>Выполнение организационных работ</v>
      </c>
      <c r="S18" s="16" t="str">
        <f>iferror(VLOOKUP(C18,'ФИО'!A:B,2,0),"учётный код не найден")</f>
        <v>Белоглазова Виктория Сергеевна</v>
      </c>
      <c r="T18" s="13" t="str">
        <f t="shared" si="2"/>
        <v/>
      </c>
      <c r="X18" s="14" t="str">
        <f t="shared" si="3"/>
        <v>Данные не заполены</v>
      </c>
      <c r="Y18" s="15">
        <f t="shared" si="4"/>
        <v>0</v>
      </c>
    </row>
    <row r="19" hidden="1">
      <c r="A19" s="7">
        <v>44112.81931155093</v>
      </c>
      <c r="B19" s="8" t="s">
        <v>26</v>
      </c>
      <c r="C19" s="8">
        <v>21803.0</v>
      </c>
      <c r="D19" s="8" t="s">
        <v>27</v>
      </c>
      <c r="E19" s="8" t="s">
        <v>35</v>
      </c>
      <c r="L19" s="8" t="s">
        <v>31</v>
      </c>
      <c r="M19" s="8" t="s">
        <v>34</v>
      </c>
      <c r="N19" s="8"/>
      <c r="O19" s="8"/>
      <c r="P19" s="9">
        <v>44112.0</v>
      </c>
      <c r="Q19" s="10">
        <v>0.04166666666424135</v>
      </c>
      <c r="R19" s="11" t="str">
        <f t="shared" si="1"/>
        <v>Занесение в Aegis</v>
      </c>
      <c r="S19" s="16" t="str">
        <f>iferror(VLOOKUP(C19,'ФИО'!A:B,2,0),"учётный код не найден")</f>
        <v>Белоглазова Виктория Сергеевна</v>
      </c>
      <c r="T19" s="13" t="str">
        <f t="shared" si="2"/>
        <v/>
      </c>
      <c r="W19" s="21" t="str">
        <f t="shared" ref="W19:W22" si="7">IFERROR((((38412/(ifs(O19&lt;35,35,O19&gt;34,O19)/N19)*0.7))),"Данные не заполены")</f>
        <v>Данные не заполены</v>
      </c>
      <c r="X19" s="15" t="str">
        <f t="shared" si="3"/>
        <v>Данные не заполены</v>
      </c>
      <c r="Y19" s="15">
        <f t="shared" si="4"/>
        <v>0</v>
      </c>
      <c r="Z19" s="8" t="s">
        <v>49</v>
      </c>
    </row>
    <row r="20" hidden="1">
      <c r="A20" s="7">
        <v>44105.824328483795</v>
      </c>
      <c r="B20" s="8" t="s">
        <v>26</v>
      </c>
      <c r="C20" s="8">
        <v>21803.0</v>
      </c>
      <c r="D20" s="18" t="s">
        <v>27</v>
      </c>
      <c r="E20" s="8" t="s">
        <v>50</v>
      </c>
      <c r="G20" s="11"/>
      <c r="L20" s="18" t="s">
        <v>31</v>
      </c>
      <c r="M20" s="8" t="s">
        <v>34</v>
      </c>
      <c r="N20" s="8"/>
      <c r="O20" s="8"/>
      <c r="P20" s="19">
        <v>44105.0</v>
      </c>
      <c r="Q20" s="20">
        <v>0.01736111110949423</v>
      </c>
      <c r="R20" s="13" t="str">
        <f t="shared" si="1"/>
        <v>Заполнение отчёта</v>
      </c>
      <c r="S20" s="16" t="str">
        <f>iferror(VLOOKUP(C20,'ФИО'!A:B,2,0),"учётный код не найден")</f>
        <v>Белоглазова Виктория Сергеевна</v>
      </c>
      <c r="T20" s="13" t="str">
        <f t="shared" si="2"/>
        <v/>
      </c>
      <c r="W20" s="21" t="str">
        <f t="shared" si="7"/>
        <v>Данные не заполены</v>
      </c>
      <c r="X20" s="15" t="str">
        <f t="shared" si="3"/>
        <v>Данные не заполены</v>
      </c>
      <c r="Y20" s="15">
        <f t="shared" si="4"/>
        <v>0</v>
      </c>
    </row>
    <row r="21" hidden="1">
      <c r="A21" s="7">
        <v>44108.330337997686</v>
      </c>
      <c r="B21" s="8" t="s">
        <v>38</v>
      </c>
      <c r="C21" s="8">
        <v>21803.0</v>
      </c>
      <c r="D21" s="8" t="s">
        <v>27</v>
      </c>
      <c r="E21" s="8" t="s">
        <v>50</v>
      </c>
      <c r="L21" s="8" t="s">
        <v>31</v>
      </c>
      <c r="M21" s="8" t="s">
        <v>34</v>
      </c>
      <c r="N21" s="8"/>
      <c r="O21" s="8"/>
      <c r="P21" s="9">
        <v>44107.0</v>
      </c>
      <c r="Q21" s="10">
        <v>0.006944444445252884</v>
      </c>
      <c r="R21" s="11" t="str">
        <f t="shared" si="1"/>
        <v>Заполнение отчёта</v>
      </c>
      <c r="S21" s="16" t="str">
        <f>iferror(VLOOKUP(C21,'ФИО'!A:B,2,0),"учётный код не найден")</f>
        <v>Белоглазова Виктория Сергеевна</v>
      </c>
      <c r="T21" s="13" t="str">
        <f t="shared" si="2"/>
        <v/>
      </c>
      <c r="W21" s="21" t="str">
        <f t="shared" si="7"/>
        <v>Данные не заполены</v>
      </c>
      <c r="X21" s="15" t="str">
        <f t="shared" si="3"/>
        <v>Данные не заполены</v>
      </c>
      <c r="Y21" s="15">
        <f t="shared" si="4"/>
        <v>0</v>
      </c>
    </row>
    <row r="22" hidden="1">
      <c r="A22" s="7">
        <v>44109.31720806713</v>
      </c>
      <c r="B22" s="8" t="s">
        <v>38</v>
      </c>
      <c r="C22" s="8">
        <v>21803.0</v>
      </c>
      <c r="D22" s="8" t="s">
        <v>27</v>
      </c>
      <c r="E22" s="8" t="s">
        <v>50</v>
      </c>
      <c r="L22" s="8" t="s">
        <v>31</v>
      </c>
      <c r="M22" s="8" t="s">
        <v>34</v>
      </c>
      <c r="N22" s="8"/>
      <c r="O22" s="8"/>
      <c r="P22" s="9">
        <v>44108.0</v>
      </c>
      <c r="Q22" s="10">
        <v>0.006944444445252884</v>
      </c>
      <c r="R22" s="11" t="str">
        <f t="shared" si="1"/>
        <v>Заполнение отчёта</v>
      </c>
      <c r="S22" s="16" t="str">
        <f>iferror(VLOOKUP(C22,'ФИО'!A:B,2,0),"учётный код не найден")</f>
        <v>Белоглазова Виктория Сергеевна</v>
      </c>
      <c r="T22" s="13" t="str">
        <f t="shared" si="2"/>
        <v/>
      </c>
      <c r="W22" s="21" t="str">
        <f t="shared" si="7"/>
        <v>Данные не заполены</v>
      </c>
      <c r="X22" s="15" t="str">
        <f t="shared" si="3"/>
        <v>Данные не заполены</v>
      </c>
      <c r="Y22" s="15">
        <f t="shared" si="4"/>
        <v>0</v>
      </c>
    </row>
    <row r="23" hidden="1">
      <c r="A23" s="7">
        <v>44129.82917938658</v>
      </c>
      <c r="B23" s="8" t="s">
        <v>26</v>
      </c>
      <c r="C23" s="8">
        <v>21752.0</v>
      </c>
      <c r="D23" s="8" t="s">
        <v>27</v>
      </c>
      <c r="E23" s="8" t="s">
        <v>51</v>
      </c>
      <c r="G23" s="8">
        <v>3804.0</v>
      </c>
      <c r="H23" s="8" t="s">
        <v>45</v>
      </c>
      <c r="K23" s="8" t="s">
        <v>52</v>
      </c>
      <c r="L23" s="8" t="s">
        <v>31</v>
      </c>
      <c r="M23" s="8" t="s">
        <v>53</v>
      </c>
      <c r="P23" s="9">
        <v>44129.0</v>
      </c>
      <c r="Q23" s="10">
        <v>0.08333333333575865</v>
      </c>
      <c r="R23" s="11" t="str">
        <f t="shared" si="1"/>
        <v>Внутрисхемное тестирование ICT</v>
      </c>
      <c r="S23" s="12" t="str">
        <f>iferror(VLOOKUP(C23,'ФИО'!A:B,2,0),"учётный код не найден")</f>
        <v>Егоров Александр Александрович</v>
      </c>
      <c r="T23" s="13" t="str">
        <f t="shared" si="2"/>
        <v>М17V2 (900-00018.D)_910-00023.H и ПУ 910-00012.I</v>
      </c>
      <c r="U23" s="8">
        <v>0.0</v>
      </c>
      <c r="V23" s="8">
        <v>0.0</v>
      </c>
      <c r="X23" s="14" t="str">
        <f t="shared" si="3"/>
        <v>Данные не заполены</v>
      </c>
      <c r="Y23" s="15">
        <f t="shared" si="4"/>
        <v>0</v>
      </c>
    </row>
    <row r="24" hidden="1">
      <c r="A24" s="7">
        <v>44129.83015612268</v>
      </c>
      <c r="B24" s="8" t="s">
        <v>26</v>
      </c>
      <c r="C24" s="8">
        <v>21752.0</v>
      </c>
      <c r="D24" s="8" t="s">
        <v>27</v>
      </c>
      <c r="E24" s="8" t="s">
        <v>51</v>
      </c>
      <c r="G24" s="8">
        <v>3804.0</v>
      </c>
      <c r="H24" s="8" t="s">
        <v>45</v>
      </c>
      <c r="K24" s="8" t="s">
        <v>52</v>
      </c>
      <c r="L24" s="8" t="s">
        <v>37</v>
      </c>
      <c r="P24" s="9">
        <v>44129.0</v>
      </c>
      <c r="Q24" s="10">
        <v>0.08333333333575865</v>
      </c>
      <c r="R24" s="11" t="str">
        <f t="shared" si="1"/>
        <v>Внутрисхемное тестирование ICT</v>
      </c>
      <c r="S24" s="12" t="str">
        <f>iferror(VLOOKUP(C24,'ФИО'!A:B,2,0),"учётный код не найден")</f>
        <v>Егоров Александр Александрович</v>
      </c>
      <c r="T24" s="13" t="str">
        <f t="shared" si="2"/>
        <v>М17V2 (900-00018.D)_910-00023.H и ПУ 910-00012.I</v>
      </c>
      <c r="U24" s="8">
        <v>149.0</v>
      </c>
      <c r="V24" s="8">
        <v>1.0</v>
      </c>
      <c r="X24" s="14" t="str">
        <f t="shared" si="3"/>
        <v>Данные не заполены</v>
      </c>
      <c r="Y24" s="15">
        <f t="shared" si="4"/>
        <v>0.006711409396</v>
      </c>
    </row>
    <row r="25" hidden="1">
      <c r="A25" s="7">
        <v>44113.819168773145</v>
      </c>
      <c r="B25" s="8" t="s">
        <v>26</v>
      </c>
      <c r="C25" s="8">
        <v>21522.0</v>
      </c>
      <c r="D25" s="8" t="s">
        <v>27</v>
      </c>
      <c r="E25" s="8" t="s">
        <v>47</v>
      </c>
      <c r="G25" s="8">
        <v>3750.0</v>
      </c>
      <c r="H25" s="8" t="s">
        <v>45</v>
      </c>
      <c r="K25" s="8" t="s">
        <v>46</v>
      </c>
      <c r="L25" s="8" t="s">
        <v>31</v>
      </c>
      <c r="M25" s="8" t="s">
        <v>34</v>
      </c>
      <c r="N25" s="8"/>
      <c r="O25" s="8"/>
      <c r="P25" s="9">
        <v>44113.0</v>
      </c>
      <c r="Q25" s="10">
        <v>0.010416666664241347</v>
      </c>
      <c r="R25" s="11" t="str">
        <f t="shared" si="1"/>
        <v>Верификация компонентов на линию</v>
      </c>
      <c r="S25" s="16" t="str">
        <f>iferror(VLOOKUP(C25,'ФИО'!A:B,2,0),"учётный код не найден")</f>
        <v>Исаев Никита Дмитриевич</v>
      </c>
      <c r="T25" s="13" t="str">
        <f t="shared" si="2"/>
        <v>ПУ 910-00349.A "Печатный узел основного блока E96 4LIN"</v>
      </c>
      <c r="U25" s="8">
        <v>50.0</v>
      </c>
      <c r="V25" s="8">
        <v>0.0</v>
      </c>
      <c r="W25" s="21">
        <v>2640.0</v>
      </c>
      <c r="X25" s="15">
        <f t="shared" si="3"/>
        <v>0.8333333335</v>
      </c>
      <c r="Y25" s="15">
        <f t="shared" si="4"/>
        <v>0</v>
      </c>
    </row>
    <row r="26" hidden="1">
      <c r="A26" s="7">
        <v>44133.316101122684</v>
      </c>
      <c r="B26" s="8" t="s">
        <v>38</v>
      </c>
      <c r="C26" s="8">
        <v>21522.0</v>
      </c>
      <c r="D26" s="8" t="s">
        <v>27</v>
      </c>
      <c r="E26" s="8" t="s">
        <v>47</v>
      </c>
      <c r="G26" s="8">
        <v>3621.0</v>
      </c>
      <c r="H26" s="8" t="s">
        <v>45</v>
      </c>
      <c r="K26" s="8" t="s">
        <v>52</v>
      </c>
      <c r="L26" s="8" t="s">
        <v>31</v>
      </c>
      <c r="M26" s="8" t="s">
        <v>34</v>
      </c>
      <c r="P26" s="9">
        <v>44132.0</v>
      </c>
      <c r="Q26" s="10">
        <v>0.006944444445252884</v>
      </c>
      <c r="R26" s="11" t="str">
        <f t="shared" si="1"/>
        <v>Верификация компонентов на линию</v>
      </c>
      <c r="S26" s="12" t="str">
        <f>iferror(VLOOKUP(C26,'ФИО'!A:B,2,0),"учётный код не найден")</f>
        <v>Исаев Никита Дмитриевич</v>
      </c>
      <c r="T26" s="13" t="str">
        <f t="shared" si="2"/>
        <v>М17V2 (900-00018.D)_910-00023.H и ПУ 910-00012.I</v>
      </c>
      <c r="U26" s="8">
        <v>40.0</v>
      </c>
      <c r="V26" s="8">
        <v>0.0</v>
      </c>
      <c r="W26" s="8">
        <v>2640.0</v>
      </c>
      <c r="X26" s="14">
        <f t="shared" si="3"/>
        <v>0.9999999999</v>
      </c>
      <c r="Y26" s="15">
        <f t="shared" si="4"/>
        <v>0</v>
      </c>
    </row>
    <row r="27" hidden="1">
      <c r="A27" s="7">
        <v>44129.825061400465</v>
      </c>
      <c r="B27" s="8" t="s">
        <v>26</v>
      </c>
      <c r="C27" s="8">
        <v>21522.0</v>
      </c>
      <c r="D27" s="8" t="s">
        <v>27</v>
      </c>
      <c r="E27" s="8" t="s">
        <v>28</v>
      </c>
      <c r="G27" s="8">
        <v>3621.0</v>
      </c>
      <c r="H27" s="8" t="s">
        <v>29</v>
      </c>
      <c r="I27" s="8" t="s">
        <v>54</v>
      </c>
      <c r="L27" s="8" t="s">
        <v>31</v>
      </c>
      <c r="M27" s="8" t="s">
        <v>34</v>
      </c>
      <c r="P27" s="9">
        <v>44129.0</v>
      </c>
      <c r="Q27" s="10">
        <v>0.0625</v>
      </c>
      <c r="R27" s="11" t="str">
        <f t="shared" si="1"/>
        <v>Выполнение дополнительных работ на линии</v>
      </c>
      <c r="S27" s="12" t="str">
        <f>iferror(VLOOKUP(C27,'ФИО'!A:B,2,0),"учётный код не найден")</f>
        <v>Исаев Никита Дмитриевич</v>
      </c>
      <c r="T27" s="13" t="str">
        <f t="shared" si="2"/>
        <v>915-00121.A - Процессорный модуль РСЕН.469555.027 (КНС Групп)</v>
      </c>
      <c r="U27" s="8">
        <v>0.0</v>
      </c>
      <c r="V27" s="8">
        <v>0.0</v>
      </c>
      <c r="X27" s="14" t="str">
        <f t="shared" si="3"/>
        <v>Данные не заполены</v>
      </c>
      <c r="Y27" s="15">
        <f t="shared" si="4"/>
        <v>0</v>
      </c>
    </row>
    <row r="28" hidden="1">
      <c r="A28" s="7">
        <v>44125.315742569444</v>
      </c>
      <c r="B28" s="8" t="s">
        <v>38</v>
      </c>
      <c r="C28" s="8">
        <v>21522.0</v>
      </c>
      <c r="D28" s="8" t="s">
        <v>27</v>
      </c>
      <c r="E28" s="8" t="s">
        <v>28</v>
      </c>
      <c r="G28" s="8">
        <v>3804.0</v>
      </c>
      <c r="H28" s="8" t="s">
        <v>45</v>
      </c>
      <c r="K28" s="8" t="s">
        <v>52</v>
      </c>
      <c r="L28" s="8" t="s">
        <v>31</v>
      </c>
      <c r="M28" s="8" t="s">
        <v>34</v>
      </c>
      <c r="P28" s="9">
        <v>44124.0</v>
      </c>
      <c r="Q28" s="10">
        <v>0.08333333333333333</v>
      </c>
      <c r="R28" s="11" t="str">
        <f t="shared" si="1"/>
        <v>Выполнение дополнительных работ на линии</v>
      </c>
      <c r="S28" s="16" t="str">
        <f>iferror(VLOOKUP(C28,'ФИО'!A:B,2,0),"учётный код не найден")</f>
        <v>Исаев Никита Дмитриевич</v>
      </c>
      <c r="T28" s="13" t="str">
        <f t="shared" si="2"/>
        <v>М17V2 (900-00018.D)_910-00023.H и ПУ 910-00012.I</v>
      </c>
      <c r="U28" s="8">
        <v>0.0</v>
      </c>
      <c r="V28" s="8">
        <v>0.0</v>
      </c>
      <c r="X28" s="14" t="str">
        <f t="shared" si="3"/>
        <v>Данные не заполены</v>
      </c>
      <c r="Y28" s="15">
        <f t="shared" si="4"/>
        <v>0</v>
      </c>
    </row>
    <row r="29" hidden="1">
      <c r="A29" s="7">
        <v>44133.31605136574</v>
      </c>
      <c r="B29" s="8" t="s">
        <v>38</v>
      </c>
      <c r="C29" s="8">
        <v>21522.0</v>
      </c>
      <c r="D29" s="8" t="s">
        <v>27</v>
      </c>
      <c r="E29" s="8" t="s">
        <v>28</v>
      </c>
      <c r="G29" s="8">
        <v>3621.0</v>
      </c>
      <c r="H29" s="8" t="s">
        <v>29</v>
      </c>
      <c r="I29" s="8" t="s">
        <v>54</v>
      </c>
      <c r="L29" s="8" t="s">
        <v>31</v>
      </c>
      <c r="M29" s="8" t="s">
        <v>34</v>
      </c>
      <c r="P29" s="9">
        <v>44132.0</v>
      </c>
      <c r="Q29" s="10">
        <v>0.08333333333575865</v>
      </c>
      <c r="R29" s="11" t="str">
        <f t="shared" si="1"/>
        <v>Выполнение дополнительных работ на линии</v>
      </c>
      <c r="S29" s="12" t="str">
        <f>iferror(VLOOKUP(C29,'ФИО'!A:B,2,0),"учётный код не найден")</f>
        <v>Исаев Никита Дмитриевич</v>
      </c>
      <c r="T29" s="13" t="str">
        <f t="shared" si="2"/>
        <v>915-00121.A - Процессорный модуль РСЕН.469555.027 (КНС Групп)</v>
      </c>
      <c r="U29" s="8">
        <v>0.0</v>
      </c>
      <c r="V29" s="8">
        <v>0.0</v>
      </c>
      <c r="X29" s="14" t="str">
        <f t="shared" si="3"/>
        <v>Данные не заполены</v>
      </c>
      <c r="Y29" s="15">
        <f t="shared" si="4"/>
        <v>0</v>
      </c>
    </row>
    <row r="30" hidden="1">
      <c r="A30" s="7">
        <v>44133.31602545139</v>
      </c>
      <c r="B30" s="8" t="s">
        <v>38</v>
      </c>
      <c r="C30" s="8">
        <v>21522.0</v>
      </c>
      <c r="D30" s="8" t="s">
        <v>27</v>
      </c>
      <c r="E30" s="8" t="s">
        <v>40</v>
      </c>
      <c r="G30" s="8">
        <v>3621.0</v>
      </c>
      <c r="H30" s="8" t="s">
        <v>29</v>
      </c>
      <c r="I30" s="8" t="s">
        <v>54</v>
      </c>
      <c r="L30" s="8" t="s">
        <v>31</v>
      </c>
      <c r="M30" s="8" t="s">
        <v>34</v>
      </c>
      <c r="P30" s="9">
        <v>44132.0</v>
      </c>
      <c r="Q30" s="10">
        <v>0.0625</v>
      </c>
      <c r="R30" s="11" t="str">
        <f t="shared" si="1"/>
        <v>Зарядка питателей Sec</v>
      </c>
      <c r="S30" s="12" t="str">
        <f>iferror(VLOOKUP(C30,'ФИО'!A:B,2,0),"учётный код не найден")</f>
        <v>Исаев Никита Дмитриевич</v>
      </c>
      <c r="T30" s="13" t="str">
        <f t="shared" si="2"/>
        <v>915-00121.A - Процессорный модуль РСЕН.469555.027 (КНС Групп)</v>
      </c>
      <c r="U30" s="8">
        <v>86.0</v>
      </c>
      <c r="V30" s="8">
        <v>0.0</v>
      </c>
      <c r="W30" s="8">
        <v>660.0</v>
      </c>
      <c r="X30" s="14">
        <f t="shared" si="3"/>
        <v>0.9555555556</v>
      </c>
      <c r="Y30" s="15">
        <f t="shared" si="4"/>
        <v>0</v>
      </c>
    </row>
    <row r="31" hidden="1">
      <c r="A31" s="7">
        <v>44129.82514561343</v>
      </c>
      <c r="B31" s="8" t="s">
        <v>26</v>
      </c>
      <c r="C31" s="8">
        <v>21522.0</v>
      </c>
      <c r="D31" s="8" t="s">
        <v>27</v>
      </c>
      <c r="E31" s="8" t="s">
        <v>55</v>
      </c>
      <c r="G31" s="8">
        <v>3237.0</v>
      </c>
      <c r="H31" s="8" t="s">
        <v>29</v>
      </c>
      <c r="I31" s="8" t="s">
        <v>56</v>
      </c>
      <c r="L31" s="8" t="s">
        <v>31</v>
      </c>
      <c r="M31" s="8" t="s">
        <v>34</v>
      </c>
      <c r="P31" s="9">
        <v>44129.0</v>
      </c>
      <c r="Q31" s="10">
        <v>0.020833333335758653</v>
      </c>
      <c r="R31" s="11" t="str">
        <f t="shared" si="1"/>
        <v>Маркировка плат</v>
      </c>
      <c r="S31" s="12" t="str">
        <f>iferror(VLOOKUP(C31,'ФИО'!A:B,2,0),"учётный код не найден")</f>
        <v>Исаев Никита Дмитриевич</v>
      </c>
      <c r="T31" s="13" t="str">
        <f t="shared" si="2"/>
        <v>915-00098.А - ПКБУИК-38 АСЛБ.465122.020 (Квант)</v>
      </c>
      <c r="U31" s="8">
        <v>24.0</v>
      </c>
      <c r="V31" s="8">
        <v>0.0</v>
      </c>
      <c r="X31" s="14" t="str">
        <f t="shared" si="3"/>
        <v>Данные не заполены</v>
      </c>
      <c r="Y31" s="15">
        <f t="shared" si="4"/>
        <v>0</v>
      </c>
    </row>
    <row r="32" hidden="1">
      <c r="A32" s="7">
        <v>44129.8251222338</v>
      </c>
      <c r="B32" s="8" t="s">
        <v>26</v>
      </c>
      <c r="C32" s="8">
        <v>21522.0</v>
      </c>
      <c r="D32" s="8" t="s">
        <v>27</v>
      </c>
      <c r="E32" s="8" t="s">
        <v>57</v>
      </c>
      <c r="G32" s="8">
        <v>3237.0</v>
      </c>
      <c r="H32" s="8" t="s">
        <v>29</v>
      </c>
      <c r="I32" s="8" t="s">
        <v>56</v>
      </c>
      <c r="L32" s="8" t="s">
        <v>31</v>
      </c>
      <c r="M32" s="8" t="s">
        <v>34</v>
      </c>
      <c r="P32" s="9">
        <v>44129.0</v>
      </c>
      <c r="Q32" s="10">
        <v>0.04166666666424135</v>
      </c>
      <c r="R32" s="11" t="str">
        <f t="shared" si="1"/>
        <v>Настройка линии Primary</v>
      </c>
      <c r="S32" s="12" t="str">
        <f>iferror(VLOOKUP(C32,'ФИО'!A:B,2,0),"учётный код не найден")</f>
        <v>Исаев Никита Дмитриевич</v>
      </c>
      <c r="T32" s="13" t="str">
        <f t="shared" si="2"/>
        <v>915-00098.А - ПКБУИК-38 АСЛБ.465122.020 (Квант)</v>
      </c>
      <c r="U32" s="8">
        <v>0.0</v>
      </c>
      <c r="V32" s="8">
        <v>0.0</v>
      </c>
      <c r="X32" s="14" t="str">
        <f t="shared" si="3"/>
        <v>Данные не заполены</v>
      </c>
      <c r="Y32" s="15">
        <f t="shared" si="4"/>
        <v>0</v>
      </c>
    </row>
    <row r="33" hidden="1">
      <c r="A33" s="7">
        <v>44129.82501863426</v>
      </c>
      <c r="B33" s="8" t="s">
        <v>26</v>
      </c>
      <c r="C33" s="8">
        <v>21522.0</v>
      </c>
      <c r="D33" s="8" t="s">
        <v>27</v>
      </c>
      <c r="E33" s="8" t="s">
        <v>57</v>
      </c>
      <c r="G33" s="8">
        <v>3621.0</v>
      </c>
      <c r="H33" s="8" t="s">
        <v>29</v>
      </c>
      <c r="I33" s="8" t="s">
        <v>54</v>
      </c>
      <c r="L33" s="8" t="s">
        <v>31</v>
      </c>
      <c r="M33" s="8" t="s">
        <v>34</v>
      </c>
      <c r="P33" s="9">
        <v>44129.0</v>
      </c>
      <c r="Q33" s="10">
        <v>0.04166666666424135</v>
      </c>
      <c r="R33" s="11" t="str">
        <f t="shared" si="1"/>
        <v>Настройка линии Primary</v>
      </c>
      <c r="S33" s="12" t="str">
        <f>iferror(VLOOKUP(C33,'ФИО'!A:B,2,0),"учётный код не найден")</f>
        <v>Исаев Никита Дмитриевич</v>
      </c>
      <c r="T33" s="13" t="str">
        <f t="shared" si="2"/>
        <v>915-00121.A - Процессорный модуль РСЕН.469555.027 (КНС Групп)</v>
      </c>
      <c r="U33" s="8">
        <v>0.0</v>
      </c>
      <c r="V33" s="8">
        <v>0.0</v>
      </c>
      <c r="X33" s="14" t="str">
        <f t="shared" si="3"/>
        <v>Данные не заполены</v>
      </c>
      <c r="Y33" s="15">
        <f t="shared" si="4"/>
        <v>0</v>
      </c>
    </row>
    <row r="34" hidden="1">
      <c r="A34" s="7">
        <v>44109.324106203705</v>
      </c>
      <c r="B34" s="8" t="s">
        <v>38</v>
      </c>
      <c r="C34" s="8">
        <v>20751.0</v>
      </c>
      <c r="D34" s="8" t="s">
        <v>27</v>
      </c>
      <c r="E34" s="8" t="s">
        <v>47</v>
      </c>
      <c r="G34" s="8">
        <v>3726.0</v>
      </c>
      <c r="H34" s="8" t="s">
        <v>45</v>
      </c>
      <c r="K34" s="8" t="s">
        <v>58</v>
      </c>
      <c r="L34" s="8" t="s">
        <v>31</v>
      </c>
      <c r="M34" s="8" t="s">
        <v>34</v>
      </c>
      <c r="N34" s="8"/>
      <c r="O34" s="8"/>
      <c r="P34" s="9">
        <v>44108.0</v>
      </c>
      <c r="Q34" s="10">
        <v>0.0020833333328482695</v>
      </c>
      <c r="R34" s="11" t="str">
        <f t="shared" si="1"/>
        <v>Верификация компонентов на линию</v>
      </c>
      <c r="S34" s="16" t="str">
        <f>iferror(VLOOKUP(C34,'ФИО'!A:B,2,0),"учётный код не найден")</f>
        <v>Кезерев Виталий Романович</v>
      </c>
      <c r="T34" s="13" t="str">
        <f t="shared" si="2"/>
        <v>ПУ метки i95</v>
      </c>
      <c r="U34" s="8">
        <v>10.0</v>
      </c>
      <c r="V34" s="8">
        <v>0.0</v>
      </c>
      <c r="W34" s="21" t="str">
        <f t="shared" ref="W34:W48" si="8">IFERROR((((38412/(ifs(O34&lt;35,35,O34&gt;34,O34)/N34)*0.7))),"Данные не заполены")</f>
        <v>Данные не заполены</v>
      </c>
      <c r="X34" s="15" t="str">
        <f t="shared" si="3"/>
        <v>Данные не заполены</v>
      </c>
      <c r="Y34" s="15">
        <f t="shared" si="4"/>
        <v>0</v>
      </c>
      <c r="Z34" s="8" t="s">
        <v>59</v>
      </c>
    </row>
    <row r="35" hidden="1">
      <c r="A35" s="7">
        <v>44109.32539121528</v>
      </c>
      <c r="B35" s="8" t="s">
        <v>38</v>
      </c>
      <c r="C35" s="8">
        <v>20751.0</v>
      </c>
      <c r="D35" s="8" t="s">
        <v>27</v>
      </c>
      <c r="E35" s="8" t="s">
        <v>28</v>
      </c>
      <c r="G35" s="8">
        <v>3233.0</v>
      </c>
      <c r="H35" s="8" t="s">
        <v>29</v>
      </c>
      <c r="I35" s="8" t="s">
        <v>60</v>
      </c>
      <c r="L35" s="8" t="s">
        <v>31</v>
      </c>
      <c r="M35" s="8" t="s">
        <v>34</v>
      </c>
      <c r="N35" s="8"/>
      <c r="O35" s="8"/>
      <c r="P35" s="9">
        <v>44108.0</v>
      </c>
      <c r="Q35" s="10">
        <v>0.020833333335758653</v>
      </c>
      <c r="R35" s="11" t="str">
        <f t="shared" si="1"/>
        <v>Выполнение дополнительных работ на линии</v>
      </c>
      <c r="S35" s="16" t="str">
        <f>iferror(VLOOKUP(C35,'ФИО'!A:B,2,0),"учётный код не найден")</f>
        <v>Кезерев Виталий Романович</v>
      </c>
      <c r="T35" s="13" t="str">
        <f t="shared" si="2"/>
        <v>915-00102.A - ПБОК-2В АСЛБ.465285.013 (Квант)</v>
      </c>
      <c r="U35" s="8">
        <v>0.0</v>
      </c>
      <c r="V35" s="8">
        <v>0.0</v>
      </c>
      <c r="W35" s="21" t="str">
        <f t="shared" si="8"/>
        <v>Данные не заполены</v>
      </c>
      <c r="X35" s="15" t="str">
        <f t="shared" si="3"/>
        <v>Данные не заполены</v>
      </c>
      <c r="Y35" s="15">
        <f t="shared" si="4"/>
        <v>0</v>
      </c>
      <c r="Z35" s="8" t="s">
        <v>61</v>
      </c>
    </row>
    <row r="36" hidden="1">
      <c r="A36" s="7">
        <v>44105.81929760417</v>
      </c>
      <c r="B36" s="8" t="s">
        <v>26</v>
      </c>
      <c r="C36" s="8">
        <v>20751.0</v>
      </c>
      <c r="D36" s="18" t="s">
        <v>27</v>
      </c>
      <c r="E36" s="8" t="s">
        <v>48</v>
      </c>
      <c r="G36" s="11"/>
      <c r="L36" s="18" t="s">
        <v>31</v>
      </c>
      <c r="M36" s="8" t="s">
        <v>34</v>
      </c>
      <c r="N36" s="8"/>
      <c r="O36" s="8"/>
      <c r="P36" s="19">
        <v>44105.0</v>
      </c>
      <c r="Q36" s="20">
        <v>0.23958333333575865</v>
      </c>
      <c r="R36" s="13" t="str">
        <f t="shared" si="1"/>
        <v>Выполнение организационных работ</v>
      </c>
      <c r="S36" s="16" t="str">
        <f>iferror(VLOOKUP(C36,'ФИО'!A:B,2,0),"учётный код не найден")</f>
        <v>Кезерев Виталий Романович</v>
      </c>
      <c r="T36" s="13" t="str">
        <f t="shared" si="2"/>
        <v/>
      </c>
      <c r="W36" s="21" t="str">
        <f t="shared" si="8"/>
        <v>Данные не заполены</v>
      </c>
      <c r="X36" s="15" t="str">
        <f t="shared" si="3"/>
        <v>Данные не заполены</v>
      </c>
      <c r="Y36" s="15">
        <f t="shared" si="4"/>
        <v>0</v>
      </c>
    </row>
    <row r="37" hidden="1">
      <c r="A37" s="7">
        <v>44108.328538368056</v>
      </c>
      <c r="B37" s="8" t="s">
        <v>38</v>
      </c>
      <c r="C37" s="8">
        <v>20751.0</v>
      </c>
      <c r="D37" s="8" t="s">
        <v>27</v>
      </c>
      <c r="E37" s="8" t="s">
        <v>48</v>
      </c>
      <c r="L37" s="8" t="s">
        <v>31</v>
      </c>
      <c r="M37" s="8" t="s">
        <v>34</v>
      </c>
      <c r="N37" s="8"/>
      <c r="O37" s="8"/>
      <c r="P37" s="9">
        <v>44107.0</v>
      </c>
      <c r="Q37" s="10">
        <v>0.28680555555555554</v>
      </c>
      <c r="R37" s="11" t="str">
        <f t="shared" si="1"/>
        <v>Выполнение организационных работ</v>
      </c>
      <c r="S37" s="16" t="str">
        <f>iferror(VLOOKUP(C37,'ФИО'!A:B,2,0),"учётный код не найден")</f>
        <v>Кезерев Виталий Романович</v>
      </c>
      <c r="T37" s="13" t="str">
        <f t="shared" si="2"/>
        <v/>
      </c>
      <c r="W37" s="21" t="str">
        <f t="shared" si="8"/>
        <v>Данные не заполены</v>
      </c>
      <c r="X37" s="15" t="str">
        <f t="shared" si="3"/>
        <v>Данные не заполены</v>
      </c>
      <c r="Y37" s="15">
        <f t="shared" si="4"/>
        <v>0</v>
      </c>
    </row>
    <row r="38" hidden="1">
      <c r="A38" s="7">
        <v>44109.322266620366</v>
      </c>
      <c r="B38" s="8" t="s">
        <v>38</v>
      </c>
      <c r="C38" s="8">
        <v>20751.0</v>
      </c>
      <c r="D38" s="8" t="s">
        <v>27</v>
      </c>
      <c r="E38" s="8" t="s">
        <v>48</v>
      </c>
      <c r="L38" s="8" t="s">
        <v>31</v>
      </c>
      <c r="M38" s="8" t="s">
        <v>34</v>
      </c>
      <c r="N38" s="8"/>
      <c r="O38" s="8"/>
      <c r="P38" s="9">
        <v>44108.0</v>
      </c>
      <c r="Q38" s="10">
        <v>0.27222222222189885</v>
      </c>
      <c r="R38" s="11" t="str">
        <f t="shared" si="1"/>
        <v>Выполнение организационных работ</v>
      </c>
      <c r="S38" s="16" t="str">
        <f>iferror(VLOOKUP(C38,'ФИО'!A:B,2,0),"учётный код не найден")</f>
        <v>Кезерев Виталий Романович</v>
      </c>
      <c r="T38" s="13" t="str">
        <f t="shared" si="2"/>
        <v/>
      </c>
      <c r="W38" s="21" t="str">
        <f t="shared" si="8"/>
        <v>Данные не заполены</v>
      </c>
      <c r="X38" s="15" t="str">
        <f t="shared" si="3"/>
        <v>Данные не заполены</v>
      </c>
      <c r="Y38" s="15">
        <f t="shared" si="4"/>
        <v>0</v>
      </c>
    </row>
    <row r="39" hidden="1">
      <c r="A39" s="7">
        <v>44112.80031342593</v>
      </c>
      <c r="B39" s="8" t="s">
        <v>26</v>
      </c>
      <c r="C39" s="8">
        <v>20751.0</v>
      </c>
      <c r="D39" s="8" t="s">
        <v>27</v>
      </c>
      <c r="E39" s="8" t="s">
        <v>48</v>
      </c>
      <c r="L39" s="8" t="s">
        <v>31</v>
      </c>
      <c r="M39" s="8" t="s">
        <v>34</v>
      </c>
      <c r="N39" s="8"/>
      <c r="O39" s="8"/>
      <c r="P39" s="9">
        <v>44112.0</v>
      </c>
      <c r="Q39" s="10">
        <v>0.3125</v>
      </c>
      <c r="R39" s="11" t="str">
        <f t="shared" si="1"/>
        <v>Выполнение организационных работ</v>
      </c>
      <c r="S39" s="16" t="str">
        <f>iferror(VLOOKUP(C39,'ФИО'!A:B,2,0),"учётный код не найден")</f>
        <v>Кезерев Виталий Романович</v>
      </c>
      <c r="T39" s="13" t="str">
        <f t="shared" si="2"/>
        <v/>
      </c>
      <c r="W39" s="21" t="str">
        <f t="shared" si="8"/>
        <v>Данные не заполены</v>
      </c>
      <c r="X39" s="15" t="str">
        <f t="shared" si="3"/>
        <v>Данные не заполены</v>
      </c>
      <c r="Y39" s="15">
        <f t="shared" si="4"/>
        <v>0</v>
      </c>
    </row>
    <row r="40" hidden="1">
      <c r="A40" s="7">
        <v>44113.82261097222</v>
      </c>
      <c r="B40" s="8" t="s">
        <v>26</v>
      </c>
      <c r="C40" s="8">
        <v>20751.0</v>
      </c>
      <c r="D40" s="8" t="s">
        <v>27</v>
      </c>
      <c r="E40" s="8" t="s">
        <v>48</v>
      </c>
      <c r="L40" s="8" t="s">
        <v>31</v>
      </c>
      <c r="M40" s="8" t="s">
        <v>34</v>
      </c>
      <c r="N40" s="8"/>
      <c r="O40" s="8"/>
      <c r="P40" s="9">
        <v>44113.0</v>
      </c>
      <c r="Q40" s="10">
        <v>0.2951388888888889</v>
      </c>
      <c r="R40" s="11" t="str">
        <f t="shared" si="1"/>
        <v>Выполнение организационных работ</v>
      </c>
      <c r="S40" s="16" t="str">
        <f>iferror(VLOOKUP(C40,'ФИО'!A:B,2,0),"учётный код не найден")</f>
        <v>Кезерев Виталий Романович</v>
      </c>
      <c r="T40" s="13" t="str">
        <f t="shared" si="2"/>
        <v/>
      </c>
      <c r="W40" s="21" t="str">
        <f t="shared" si="8"/>
        <v>Данные не заполены</v>
      </c>
      <c r="X40" s="15" t="str">
        <f t="shared" si="3"/>
        <v>Данные не заполены</v>
      </c>
      <c r="Y40" s="15">
        <f t="shared" si="4"/>
        <v>0</v>
      </c>
    </row>
    <row r="41" hidden="1">
      <c r="A41" s="7">
        <v>44116.32870378472</v>
      </c>
      <c r="B41" s="8" t="s">
        <v>38</v>
      </c>
      <c r="C41" s="8">
        <v>20751.0</v>
      </c>
      <c r="D41" s="8" t="s">
        <v>27</v>
      </c>
      <c r="E41" s="8" t="s">
        <v>48</v>
      </c>
      <c r="L41" s="8" t="s">
        <v>31</v>
      </c>
      <c r="M41" s="8" t="s">
        <v>34</v>
      </c>
      <c r="N41" s="8"/>
      <c r="O41" s="8"/>
      <c r="P41" s="9">
        <v>44115.0</v>
      </c>
      <c r="Q41" s="10">
        <v>0.04166666666424135</v>
      </c>
      <c r="R41" s="11" t="str">
        <f t="shared" si="1"/>
        <v>Выполнение организационных работ</v>
      </c>
      <c r="S41" s="16" t="str">
        <f>iferror(VLOOKUP(C41,'ФИО'!A:B,2,0),"учётный код не найден")</f>
        <v>Кезерев Виталий Романович</v>
      </c>
      <c r="T41" s="13" t="str">
        <f t="shared" si="2"/>
        <v/>
      </c>
      <c r="W41" s="21" t="str">
        <f t="shared" si="8"/>
        <v>Данные не заполены</v>
      </c>
      <c r="X41" s="15" t="str">
        <f t="shared" si="3"/>
        <v>Данные не заполены</v>
      </c>
      <c r="Y41" s="15">
        <f t="shared" si="4"/>
        <v>0</v>
      </c>
    </row>
    <row r="42" hidden="1">
      <c r="A42" s="7">
        <v>44105.829937511575</v>
      </c>
      <c r="B42" s="8" t="s">
        <v>26</v>
      </c>
      <c r="C42" s="8">
        <v>21171.0</v>
      </c>
      <c r="D42" s="18" t="s">
        <v>27</v>
      </c>
      <c r="E42" s="8" t="s">
        <v>62</v>
      </c>
      <c r="G42" s="18">
        <v>3232.0</v>
      </c>
      <c r="H42" s="8" t="s">
        <v>29</v>
      </c>
      <c r="I42" s="8" t="s">
        <v>63</v>
      </c>
      <c r="L42" s="18" t="s">
        <v>31</v>
      </c>
      <c r="M42" s="8" t="s">
        <v>34</v>
      </c>
      <c r="N42" s="8"/>
      <c r="O42" s="8"/>
      <c r="P42" s="19">
        <v>44105.0</v>
      </c>
      <c r="Q42" s="20">
        <v>0.18402777778101154</v>
      </c>
      <c r="R42" s="13" t="str">
        <f t="shared" si="1"/>
        <v>ReviewStation pri</v>
      </c>
      <c r="S42" s="16" t="str">
        <f>iferror(VLOOKUP(C42,'ФИО'!A:B,2,0),"учётный код не найден")</f>
        <v>Муртищева Ольга Валентиновна</v>
      </c>
      <c r="T42" s="13" t="str">
        <f t="shared" si="2"/>
        <v>915-00103.A - ПБОК-1В АСЛБ.465285.012 (Квант)</v>
      </c>
      <c r="U42" s="8">
        <v>0.0</v>
      </c>
      <c r="V42" s="8">
        <v>49.0</v>
      </c>
      <c r="W42" s="21" t="str">
        <f t="shared" si="8"/>
        <v>Данные не заполены</v>
      </c>
      <c r="X42" s="15" t="str">
        <f t="shared" si="3"/>
        <v>Данные не заполены</v>
      </c>
      <c r="Y42" s="15">
        <f t="shared" si="4"/>
        <v>49</v>
      </c>
      <c r="Z42" s="8" t="s">
        <v>64</v>
      </c>
    </row>
    <row r="43" hidden="1">
      <c r="A43" s="7">
        <v>44105.833003912034</v>
      </c>
      <c r="B43" s="8" t="s">
        <v>26</v>
      </c>
      <c r="C43" s="8">
        <v>21171.0</v>
      </c>
      <c r="D43" s="18" t="s">
        <v>27</v>
      </c>
      <c r="E43" s="8" t="s">
        <v>47</v>
      </c>
      <c r="G43" s="18">
        <v>3579.0</v>
      </c>
      <c r="H43" s="8" t="s">
        <v>29</v>
      </c>
      <c r="I43" s="8" t="s">
        <v>42</v>
      </c>
      <c r="L43" s="18" t="s">
        <v>31</v>
      </c>
      <c r="M43" s="8" t="s">
        <v>34</v>
      </c>
      <c r="N43" s="8"/>
      <c r="O43" s="8"/>
      <c r="P43" s="19">
        <v>44105.0</v>
      </c>
      <c r="Q43" s="20">
        <v>0.006944444444444444</v>
      </c>
      <c r="R43" s="13" t="str">
        <f t="shared" si="1"/>
        <v>Верификация компонентов на линию</v>
      </c>
      <c r="S43" s="16" t="str">
        <f>iferror(VLOOKUP(C43,'ФИО'!A:B,2,0),"учётный код не найден")</f>
        <v>Муртищева Ольга Валентиновна</v>
      </c>
      <c r="T43" s="13" t="str">
        <f t="shared" si="2"/>
        <v>915-00070.A - Модуль телематики ТМ1 v3 (Сознательные машины)</v>
      </c>
      <c r="U43" s="8">
        <v>24.0</v>
      </c>
      <c r="V43" s="8">
        <v>0.0</v>
      </c>
      <c r="W43" s="21" t="str">
        <f t="shared" si="8"/>
        <v>Данные не заполены</v>
      </c>
      <c r="X43" s="15" t="str">
        <f t="shared" si="3"/>
        <v>Данные не заполены</v>
      </c>
      <c r="Y43" s="15">
        <f t="shared" si="4"/>
        <v>0</v>
      </c>
    </row>
    <row r="44" hidden="1">
      <c r="A44" s="7">
        <v>44105.83377729167</v>
      </c>
      <c r="B44" s="8" t="s">
        <v>26</v>
      </c>
      <c r="C44" s="8">
        <v>21171.0</v>
      </c>
      <c r="D44" s="18" t="s">
        <v>27</v>
      </c>
      <c r="E44" s="8" t="s">
        <v>39</v>
      </c>
      <c r="G44" s="18">
        <v>3579.0</v>
      </c>
      <c r="H44" s="8" t="s">
        <v>29</v>
      </c>
      <c r="I44" s="8" t="s">
        <v>42</v>
      </c>
      <c r="L44" s="18" t="s">
        <v>31</v>
      </c>
      <c r="M44" s="8" t="s">
        <v>34</v>
      </c>
      <c r="N44" s="8"/>
      <c r="O44" s="8"/>
      <c r="P44" s="19">
        <v>44105.0</v>
      </c>
      <c r="Q44" s="20">
        <v>0.01736111110949423</v>
      </c>
      <c r="R44" s="13" t="str">
        <f t="shared" si="1"/>
        <v>Зарядка питателей Prim</v>
      </c>
      <c r="S44" s="16" t="str">
        <f>iferror(VLOOKUP(C44,'ФИО'!A:B,2,0),"учётный код не найден")</f>
        <v>Муртищева Ольга Валентиновна</v>
      </c>
      <c r="T44" s="13" t="str">
        <f t="shared" si="2"/>
        <v>915-00070.A - Модуль телематики ТМ1 v3 (Сознательные машины)</v>
      </c>
      <c r="U44" s="8">
        <v>24.0</v>
      </c>
      <c r="V44" s="8">
        <v>0.0</v>
      </c>
      <c r="W44" s="21" t="str">
        <f t="shared" si="8"/>
        <v>Данные не заполены</v>
      </c>
      <c r="X44" s="15" t="str">
        <f t="shared" si="3"/>
        <v>Данные не заполены</v>
      </c>
      <c r="Y44" s="15">
        <f t="shared" si="4"/>
        <v>0</v>
      </c>
    </row>
    <row r="45" hidden="1">
      <c r="A45" s="7">
        <v>44105.834550625004</v>
      </c>
      <c r="B45" s="8" t="s">
        <v>26</v>
      </c>
      <c r="C45" s="8">
        <v>21171.0</v>
      </c>
      <c r="D45" s="18" t="s">
        <v>27</v>
      </c>
      <c r="E45" s="8" t="s">
        <v>65</v>
      </c>
      <c r="G45" s="18">
        <v>3579.0</v>
      </c>
      <c r="H45" s="8" t="s">
        <v>29</v>
      </c>
      <c r="I45" s="8" t="s">
        <v>42</v>
      </c>
      <c r="L45" s="18" t="s">
        <v>31</v>
      </c>
      <c r="M45" s="8" t="s">
        <v>34</v>
      </c>
      <c r="N45" s="8"/>
      <c r="O45" s="8"/>
      <c r="P45" s="19">
        <v>44105.0</v>
      </c>
      <c r="Q45" s="20">
        <v>0.08333333333575865</v>
      </c>
      <c r="R45" s="13" t="str">
        <f t="shared" si="1"/>
        <v>Проверка комплектации</v>
      </c>
      <c r="S45" s="16" t="str">
        <f>iferror(VLOOKUP(C45,'ФИО'!A:B,2,0),"учётный код не найден")</f>
        <v>Муртищева Ольга Валентиновна</v>
      </c>
      <c r="T45" s="13" t="str">
        <f t="shared" si="2"/>
        <v>915-00070.A - Модуль телематики ТМ1 v3 (Сознательные машины)</v>
      </c>
      <c r="U45" s="8">
        <v>0.0</v>
      </c>
      <c r="V45" s="8">
        <v>0.0</v>
      </c>
      <c r="W45" s="21" t="str">
        <f t="shared" si="8"/>
        <v>Данные не заполены</v>
      </c>
      <c r="X45" s="15" t="str">
        <f t="shared" si="3"/>
        <v>Данные не заполены</v>
      </c>
      <c r="Y45" s="15">
        <f t="shared" si="4"/>
        <v>0</v>
      </c>
    </row>
    <row r="46" hidden="1">
      <c r="A46" s="7">
        <v>44105.8352424537</v>
      </c>
      <c r="B46" s="8" t="s">
        <v>26</v>
      </c>
      <c r="C46" s="8">
        <v>21171.0</v>
      </c>
      <c r="D46" s="18" t="s">
        <v>27</v>
      </c>
      <c r="E46" s="8" t="s">
        <v>66</v>
      </c>
      <c r="G46" s="18">
        <v>3579.0</v>
      </c>
      <c r="H46" s="8" t="s">
        <v>29</v>
      </c>
      <c r="I46" s="8" t="s">
        <v>42</v>
      </c>
      <c r="L46" s="18" t="s">
        <v>31</v>
      </c>
      <c r="M46" s="8" t="s">
        <v>34</v>
      </c>
      <c r="N46" s="8"/>
      <c r="O46" s="8"/>
      <c r="P46" s="19">
        <v>44105.0</v>
      </c>
      <c r="Q46" s="20">
        <v>0.0625</v>
      </c>
      <c r="R46" s="13" t="str">
        <f t="shared" si="1"/>
        <v>Проверка первой платы до оплавления</v>
      </c>
      <c r="S46" s="16" t="str">
        <f>iferror(VLOOKUP(C46,'ФИО'!A:B,2,0),"учётный код не найден")</f>
        <v>Муртищева Ольга Валентиновна</v>
      </c>
      <c r="T46" s="13" t="str">
        <f t="shared" si="2"/>
        <v>915-00070.A - Модуль телематики ТМ1 v3 (Сознательные машины)</v>
      </c>
      <c r="U46" s="8">
        <v>0.0</v>
      </c>
      <c r="V46" s="8">
        <v>0.0</v>
      </c>
      <c r="W46" s="21" t="str">
        <f t="shared" si="8"/>
        <v>Данные не заполены</v>
      </c>
      <c r="X46" s="15" t="str">
        <f t="shared" si="3"/>
        <v>Данные не заполены</v>
      </c>
      <c r="Y46" s="15">
        <f t="shared" si="4"/>
        <v>0</v>
      </c>
    </row>
    <row r="47" hidden="1">
      <c r="A47" s="7">
        <v>44105.83596863426</v>
      </c>
      <c r="B47" s="8" t="s">
        <v>26</v>
      </c>
      <c r="C47" s="8">
        <v>21171.0</v>
      </c>
      <c r="D47" s="18" t="s">
        <v>27</v>
      </c>
      <c r="E47" s="8" t="s">
        <v>67</v>
      </c>
      <c r="G47" s="18">
        <v>3579.0</v>
      </c>
      <c r="H47" s="8" t="s">
        <v>29</v>
      </c>
      <c r="I47" s="8" t="s">
        <v>42</v>
      </c>
      <c r="L47" s="18" t="s">
        <v>37</v>
      </c>
      <c r="P47" s="19">
        <v>44105.0</v>
      </c>
      <c r="Q47" s="20">
        <v>0.0625</v>
      </c>
      <c r="R47" s="13" t="str">
        <f t="shared" si="1"/>
        <v>Сборка на линии Prim</v>
      </c>
      <c r="S47" s="16" t="str">
        <f>iferror(VLOOKUP(C47,'ФИО'!A:B,2,0),"учётный код не найден")</f>
        <v>Муртищева Ольга Валентиновна</v>
      </c>
      <c r="T47" s="13" t="str">
        <f t="shared" si="2"/>
        <v>915-00070.A - Модуль телематики ТМ1 v3 (Сознательные машины)</v>
      </c>
      <c r="U47" s="8">
        <v>0.0</v>
      </c>
      <c r="V47" s="8">
        <v>0.0</v>
      </c>
      <c r="W47" s="21" t="str">
        <f t="shared" si="8"/>
        <v>Данные не заполены</v>
      </c>
      <c r="X47" s="15" t="str">
        <f t="shared" si="3"/>
        <v>Данные не заполены</v>
      </c>
      <c r="Y47" s="15">
        <f t="shared" si="4"/>
        <v>0</v>
      </c>
    </row>
    <row r="48" hidden="1">
      <c r="A48" s="7">
        <v>44105.83039451389</v>
      </c>
      <c r="B48" s="8" t="s">
        <v>26</v>
      </c>
      <c r="C48" s="8">
        <v>21171.0</v>
      </c>
      <c r="D48" s="18" t="s">
        <v>27</v>
      </c>
      <c r="E48" s="8" t="s">
        <v>68</v>
      </c>
      <c r="G48" s="11"/>
      <c r="L48" s="18" t="s">
        <v>31</v>
      </c>
      <c r="M48" s="8" t="s">
        <v>34</v>
      </c>
      <c r="N48" s="8"/>
      <c r="O48" s="8"/>
      <c r="P48" s="19">
        <v>44105.0</v>
      </c>
      <c r="Q48" s="20">
        <v>0.04166666666424135</v>
      </c>
      <c r="R48" s="13" t="str">
        <f t="shared" si="1"/>
        <v>Прохождение обучения</v>
      </c>
      <c r="S48" s="16" t="str">
        <f>iferror(VLOOKUP(C48,'ФИО'!A:B,2,0),"учётный код не найден")</f>
        <v>Муртищева Ольга Валентиновна</v>
      </c>
      <c r="T48" s="13" t="str">
        <f t="shared" si="2"/>
        <v/>
      </c>
      <c r="W48" s="21" t="str">
        <f t="shared" si="8"/>
        <v>Данные не заполены</v>
      </c>
      <c r="X48" s="15" t="str">
        <f t="shared" si="3"/>
        <v>Данные не заполены</v>
      </c>
      <c r="Y48" s="15">
        <f t="shared" si="4"/>
        <v>0</v>
      </c>
    </row>
    <row r="49" hidden="1">
      <c r="A49" s="7">
        <v>44132.32544664352</v>
      </c>
      <c r="B49" s="8" t="s">
        <v>38</v>
      </c>
      <c r="C49" s="8">
        <v>22087.0</v>
      </c>
      <c r="D49" s="8" t="s">
        <v>27</v>
      </c>
      <c r="E49" s="8" t="s">
        <v>48</v>
      </c>
      <c r="L49" s="8" t="s">
        <v>31</v>
      </c>
      <c r="M49" s="8" t="s">
        <v>34</v>
      </c>
      <c r="P49" s="9">
        <v>44131.0</v>
      </c>
      <c r="Q49" s="10">
        <v>0.08333333333575865</v>
      </c>
      <c r="R49" s="11" t="str">
        <f t="shared" si="1"/>
        <v>Выполнение организационных работ</v>
      </c>
      <c r="S49" s="12" t="str">
        <f>iferror(VLOOKUP(C49,'ФИО'!A:B,2,0),"учётный код не найден")</f>
        <v>Хохряков Илья Александрович</v>
      </c>
      <c r="T49" s="13" t="str">
        <f t="shared" si="2"/>
        <v/>
      </c>
      <c r="X49" s="14" t="str">
        <f t="shared" si="3"/>
        <v>Данные не заполены</v>
      </c>
      <c r="Y49" s="15">
        <f t="shared" si="4"/>
        <v>0</v>
      </c>
    </row>
    <row r="50" hidden="1">
      <c r="A50" s="7">
        <v>44133.3124278125</v>
      </c>
      <c r="B50" s="8" t="s">
        <v>38</v>
      </c>
      <c r="C50" s="8">
        <v>22087.0</v>
      </c>
      <c r="D50" s="8" t="s">
        <v>27</v>
      </c>
      <c r="E50" s="8" t="s">
        <v>48</v>
      </c>
      <c r="L50" s="8" t="s">
        <v>31</v>
      </c>
      <c r="M50" s="8" t="s">
        <v>34</v>
      </c>
      <c r="P50" s="9">
        <v>44132.0</v>
      </c>
      <c r="Q50" s="10">
        <v>0.16666666666424135</v>
      </c>
      <c r="R50" s="11" t="str">
        <f t="shared" si="1"/>
        <v>Выполнение организационных работ</v>
      </c>
      <c r="S50" s="12" t="str">
        <f>iferror(VLOOKUP(C50,'ФИО'!A:B,2,0),"учётный код не найден")</f>
        <v>Хохряков Илья Александрович</v>
      </c>
      <c r="T50" s="13" t="str">
        <f t="shared" si="2"/>
        <v/>
      </c>
      <c r="X50" s="14" t="str">
        <f t="shared" si="3"/>
        <v>Данные не заполены</v>
      </c>
      <c r="Y50" s="15">
        <f t="shared" si="4"/>
        <v>0</v>
      </c>
    </row>
    <row r="51" hidden="1">
      <c r="A51" s="7">
        <v>44129.814683530094</v>
      </c>
      <c r="B51" s="8" t="s">
        <v>26</v>
      </c>
      <c r="C51" s="8">
        <v>22087.0</v>
      </c>
      <c r="D51" s="8" t="s">
        <v>69</v>
      </c>
      <c r="F51" s="8" t="s">
        <v>50</v>
      </c>
      <c r="L51" s="8" t="s">
        <v>31</v>
      </c>
      <c r="M51" s="8" t="s">
        <v>34</v>
      </c>
      <c r="P51" s="9">
        <v>44129.0</v>
      </c>
      <c r="Q51" s="10">
        <v>0.020833333335758653</v>
      </c>
      <c r="R51" s="11" t="str">
        <f t="shared" si="1"/>
        <v>Заполнение отчёта</v>
      </c>
      <c r="S51" s="12" t="str">
        <f>iferror(VLOOKUP(C51,'ФИО'!A:B,2,0),"учётный код не найден")</f>
        <v>Хохряков Илья Александрович</v>
      </c>
      <c r="T51" s="13" t="str">
        <f t="shared" si="2"/>
        <v/>
      </c>
      <c r="X51" s="14" t="str">
        <f t="shared" si="3"/>
        <v>Данные не заполены</v>
      </c>
      <c r="Y51" s="15">
        <f t="shared" si="4"/>
        <v>0</v>
      </c>
    </row>
    <row r="52" hidden="1">
      <c r="A52" s="7">
        <v>44129.82269540509</v>
      </c>
      <c r="B52" s="8" t="s">
        <v>26</v>
      </c>
      <c r="C52" s="8">
        <v>22087.0</v>
      </c>
      <c r="D52" s="8" t="s">
        <v>27</v>
      </c>
      <c r="E52" s="8" t="s">
        <v>39</v>
      </c>
      <c r="G52" s="8">
        <v>3237.0</v>
      </c>
      <c r="H52" s="8" t="s">
        <v>29</v>
      </c>
      <c r="I52" s="8" t="s">
        <v>56</v>
      </c>
      <c r="L52" s="8" t="s">
        <v>31</v>
      </c>
      <c r="M52" s="8" t="s">
        <v>70</v>
      </c>
      <c r="P52" s="9">
        <v>44129.0</v>
      </c>
      <c r="Q52" s="10">
        <v>0.04166666666424135</v>
      </c>
      <c r="R52" s="11" t="str">
        <f t="shared" si="1"/>
        <v>Зарядка питателей Prim</v>
      </c>
      <c r="S52" s="12" t="str">
        <f>iferror(VLOOKUP(C52,'ФИО'!A:B,2,0),"учётный код не найден")</f>
        <v>Хохряков Илья Александрович</v>
      </c>
      <c r="T52" s="13" t="str">
        <f t="shared" si="2"/>
        <v>915-00098.А - ПКБУИК-38 АСЛБ.465122.020 (Квант)</v>
      </c>
      <c r="U52" s="8">
        <v>30.0</v>
      </c>
      <c r="V52" s="8">
        <v>0.0</v>
      </c>
      <c r="W52" s="8">
        <v>660.0</v>
      </c>
      <c r="X52" s="14">
        <f t="shared" si="3"/>
        <v>0.5</v>
      </c>
      <c r="Y52" s="15">
        <f t="shared" si="4"/>
        <v>0</v>
      </c>
      <c r="Z52" s="8" t="s">
        <v>71</v>
      </c>
    </row>
    <row r="53" hidden="1">
      <c r="A53" s="7">
        <v>44105.83206642361</v>
      </c>
      <c r="B53" s="8" t="s">
        <v>26</v>
      </c>
      <c r="C53" s="8">
        <v>20751.0</v>
      </c>
      <c r="D53" s="18" t="s">
        <v>27</v>
      </c>
      <c r="E53" s="8" t="s">
        <v>67</v>
      </c>
      <c r="G53" s="18">
        <v>3579.0</v>
      </c>
      <c r="H53" s="8" t="s">
        <v>29</v>
      </c>
      <c r="I53" s="8" t="s">
        <v>42</v>
      </c>
      <c r="L53" s="18" t="s">
        <v>37</v>
      </c>
      <c r="P53" s="19">
        <v>44105.0</v>
      </c>
      <c r="Q53" s="20">
        <v>0.024305555555555556</v>
      </c>
      <c r="R53" s="13" t="str">
        <f t="shared" si="1"/>
        <v>Сборка на линии Prim</v>
      </c>
      <c r="S53" s="22" t="s">
        <v>27</v>
      </c>
      <c r="T53" s="13" t="str">
        <f t="shared" si="2"/>
        <v>915-00070.A - Модуль телематики ТМ1 v3 (Сознательные машины)</v>
      </c>
      <c r="U53" s="8">
        <v>156.0</v>
      </c>
      <c r="V53" s="8">
        <v>0.0</v>
      </c>
      <c r="W53" s="21" t="str">
        <f t="shared" ref="W53:W69" si="9">IFERROR((((38412/(ifs(O53&lt;35,35,O53&gt;34,O53)/N53)*0.7))),"Данные не заполены")</f>
        <v>Данные не заполены</v>
      </c>
      <c r="X53" s="15" t="str">
        <f t="shared" si="3"/>
        <v>Данные не заполены</v>
      </c>
      <c r="Y53" s="15">
        <f t="shared" si="4"/>
        <v>0</v>
      </c>
    </row>
    <row r="54" hidden="1">
      <c r="A54" s="7">
        <v>44105.83606765047</v>
      </c>
      <c r="B54" s="8" t="s">
        <v>26</v>
      </c>
      <c r="C54" s="8">
        <v>60000.0</v>
      </c>
      <c r="D54" s="18" t="s">
        <v>69</v>
      </c>
      <c r="F54" s="8" t="s">
        <v>72</v>
      </c>
      <c r="G54" s="18">
        <v>3370.0</v>
      </c>
      <c r="H54" s="8" t="s">
        <v>29</v>
      </c>
      <c r="I54" s="8" t="s">
        <v>73</v>
      </c>
      <c r="L54" s="18" t="s">
        <v>37</v>
      </c>
      <c r="P54" s="19">
        <v>44105.0</v>
      </c>
      <c r="Q54" s="20">
        <v>0.125</v>
      </c>
      <c r="R54" s="13" t="str">
        <f t="shared" si="1"/>
        <v>Пайка компонентов PRI</v>
      </c>
      <c r="S54" s="12" t="str">
        <f>iferror(VLOOKUP(C54,'ФИО'!A:B,2,0),"учётный код не найден")</f>
        <v>THT</v>
      </c>
      <c r="T54" s="13" t="str">
        <f t="shared" si="2"/>
        <v>915-00114.A - ПБЭС-37П АСЛБ.467291.010-01 (Квант)</v>
      </c>
      <c r="U54" s="8">
        <v>100.0</v>
      </c>
      <c r="V54" s="8">
        <v>0.0</v>
      </c>
      <c r="W54" s="21" t="str">
        <f t="shared" si="9"/>
        <v>Данные не заполены</v>
      </c>
      <c r="X54" s="15" t="str">
        <f t="shared" si="3"/>
        <v>Данные не заполены</v>
      </c>
      <c r="Y54" s="15">
        <f t="shared" si="4"/>
        <v>0</v>
      </c>
      <c r="Z54" s="8" t="s">
        <v>74</v>
      </c>
    </row>
    <row r="55" hidden="1">
      <c r="A55" s="7">
        <v>44105.83605237269</v>
      </c>
      <c r="B55" s="8" t="s">
        <v>26</v>
      </c>
      <c r="C55" s="8">
        <v>60000.0</v>
      </c>
      <c r="D55" s="18" t="s">
        <v>69</v>
      </c>
      <c r="F55" s="8" t="s">
        <v>72</v>
      </c>
      <c r="G55" s="18">
        <v>3419.0</v>
      </c>
      <c r="H55" s="8" t="s">
        <v>29</v>
      </c>
      <c r="I55" s="8" t="s">
        <v>75</v>
      </c>
      <c r="L55" s="18" t="s">
        <v>37</v>
      </c>
      <c r="P55" s="19">
        <v>44105.0</v>
      </c>
      <c r="Q55" s="20">
        <v>0.04861111110949423</v>
      </c>
      <c r="R55" s="13" t="str">
        <f t="shared" si="1"/>
        <v>Пайка компонентов PRI</v>
      </c>
      <c r="S55" s="12" t="str">
        <f>iferror(VLOOKUP(C55,'ФИО'!A:B,2,0),"учётный код не найден")</f>
        <v>THT</v>
      </c>
      <c r="T55" s="13" t="str">
        <f t="shared" si="2"/>
        <v>ПБУИК-37В ASLB_758726_011r1 (Квант)</v>
      </c>
      <c r="U55" s="8">
        <v>10.0</v>
      </c>
      <c r="V55" s="8">
        <v>0.0</v>
      </c>
      <c r="W55" s="21" t="str">
        <f t="shared" si="9"/>
        <v>Данные не заполены</v>
      </c>
      <c r="X55" s="15" t="str">
        <f t="shared" si="3"/>
        <v>Данные не заполены</v>
      </c>
      <c r="Y55" s="15">
        <f t="shared" si="4"/>
        <v>0</v>
      </c>
      <c r="Z55" s="8" t="s">
        <v>74</v>
      </c>
    </row>
    <row r="56" hidden="1">
      <c r="A56" s="7">
        <v>44117.32773193287</v>
      </c>
      <c r="B56" s="8" t="s">
        <v>38</v>
      </c>
      <c r="C56" s="8">
        <v>20751.0</v>
      </c>
      <c r="D56" s="8" t="s">
        <v>27</v>
      </c>
      <c r="E56" s="8" t="s">
        <v>48</v>
      </c>
      <c r="L56" s="8" t="s">
        <v>31</v>
      </c>
      <c r="M56" s="8" t="s">
        <v>34</v>
      </c>
      <c r="N56" s="8"/>
      <c r="O56" s="8"/>
      <c r="P56" s="9">
        <v>44116.0</v>
      </c>
      <c r="Q56" s="10">
        <v>0.04166666666424135</v>
      </c>
      <c r="R56" s="11" t="str">
        <f t="shared" si="1"/>
        <v>Выполнение организационных работ</v>
      </c>
      <c r="S56" s="16" t="str">
        <f>iferror(VLOOKUP(C56,'ФИО'!A:B,2,0),"учётный код не найден")</f>
        <v>Кезерев Виталий Романович</v>
      </c>
      <c r="T56" s="13" t="str">
        <f t="shared" si="2"/>
        <v/>
      </c>
      <c r="W56" s="21" t="str">
        <f t="shared" si="9"/>
        <v>Данные не заполены</v>
      </c>
      <c r="X56" s="15" t="str">
        <f t="shared" si="3"/>
        <v>Данные не заполены</v>
      </c>
      <c r="Y56" s="15">
        <f t="shared" si="4"/>
        <v>0</v>
      </c>
    </row>
    <row r="57" hidden="1">
      <c r="A57" s="7">
        <v>44106.29740488426</v>
      </c>
      <c r="B57" s="8" t="s">
        <v>76</v>
      </c>
      <c r="C57" s="8">
        <v>20693.0</v>
      </c>
      <c r="D57" s="8" t="s">
        <v>27</v>
      </c>
      <c r="E57" s="8" t="s">
        <v>67</v>
      </c>
      <c r="G57" s="8">
        <v>3579.0</v>
      </c>
      <c r="H57" s="8" t="s">
        <v>29</v>
      </c>
      <c r="I57" s="8" t="s">
        <v>42</v>
      </c>
      <c r="L57" s="8" t="s">
        <v>37</v>
      </c>
      <c r="P57" s="9">
        <v>44105.0</v>
      </c>
      <c r="Q57" s="10">
        <v>0.20277777777664596</v>
      </c>
      <c r="R57" s="13" t="str">
        <f t="shared" si="1"/>
        <v>Сборка на линии Prim</v>
      </c>
      <c r="S57" s="22" t="s">
        <v>27</v>
      </c>
      <c r="T57" s="13" t="str">
        <f t="shared" si="2"/>
        <v>915-00070.A - Модуль телематики ТМ1 v3 (Сознательные машины)</v>
      </c>
      <c r="U57" s="8">
        <v>1446.0</v>
      </c>
      <c r="V57" s="8">
        <v>0.0</v>
      </c>
      <c r="W57" s="21" t="str">
        <f t="shared" si="9"/>
        <v>Данные не заполены</v>
      </c>
      <c r="X57" s="15" t="str">
        <f t="shared" si="3"/>
        <v>Данные не заполены</v>
      </c>
      <c r="Y57" s="15">
        <f t="shared" si="4"/>
        <v>0</v>
      </c>
    </row>
    <row r="58" hidden="1">
      <c r="A58" s="7">
        <v>44106.96574836806</v>
      </c>
      <c r="B58" s="8" t="s">
        <v>76</v>
      </c>
      <c r="C58" s="8">
        <v>20693.0</v>
      </c>
      <c r="D58" s="8" t="s">
        <v>69</v>
      </c>
      <c r="F58" s="8" t="s">
        <v>72</v>
      </c>
      <c r="G58" s="8">
        <v>3047.0</v>
      </c>
      <c r="H58" s="8" t="s">
        <v>29</v>
      </c>
      <c r="I58" s="8" t="s">
        <v>77</v>
      </c>
      <c r="L58" s="8" t="s">
        <v>37</v>
      </c>
      <c r="P58" s="9">
        <v>44105.0</v>
      </c>
      <c r="Q58" s="10">
        <v>0.059027777777777776</v>
      </c>
      <c r="R58" s="13" t="str">
        <f t="shared" si="1"/>
        <v>Пайка компонентов PRI</v>
      </c>
      <c r="S58" s="22" t="s">
        <v>78</v>
      </c>
      <c r="T58" s="13" t="str">
        <f t="shared" si="2"/>
        <v>915-00081.A-Модуль Трик8 (Кибертех)</v>
      </c>
      <c r="U58" s="8">
        <v>40.0</v>
      </c>
      <c r="V58" s="8">
        <v>0.0</v>
      </c>
      <c r="W58" s="21" t="str">
        <f t="shared" si="9"/>
        <v>Данные не заполены</v>
      </c>
      <c r="X58" s="15" t="str">
        <f t="shared" si="3"/>
        <v>Данные не заполены</v>
      </c>
      <c r="Y58" s="15">
        <f t="shared" si="4"/>
        <v>0</v>
      </c>
    </row>
    <row r="59" hidden="1">
      <c r="A59" s="7">
        <v>44106.31745515046</v>
      </c>
      <c r="B59" s="8" t="s">
        <v>76</v>
      </c>
      <c r="C59" s="8">
        <v>22011.0</v>
      </c>
      <c r="D59" s="8" t="s">
        <v>69</v>
      </c>
      <c r="F59" s="8" t="s">
        <v>79</v>
      </c>
      <c r="G59" s="8">
        <v>3047.0</v>
      </c>
      <c r="H59" s="8" t="s">
        <v>29</v>
      </c>
      <c r="I59" s="8" t="s">
        <v>77</v>
      </c>
      <c r="L59" s="8" t="s">
        <v>31</v>
      </c>
      <c r="M59" s="8" t="s">
        <v>34</v>
      </c>
      <c r="N59" s="8"/>
      <c r="O59" s="8"/>
      <c r="P59" s="9">
        <v>44105.0</v>
      </c>
      <c r="Q59" s="10">
        <v>0.0625</v>
      </c>
      <c r="R59" s="13" t="str">
        <f t="shared" si="1"/>
        <v>Настройка SEHO SEC</v>
      </c>
      <c r="S59" s="16" t="str">
        <f>iferror(VLOOKUP(C59,'ФИО'!A:B,2,0),"учётный код не найден")</f>
        <v>Сергеев Алексей Андреевич</v>
      </c>
      <c r="T59" s="13" t="str">
        <f t="shared" si="2"/>
        <v>915-00081.A-Модуль Трик8 (Кибертех)</v>
      </c>
      <c r="U59" s="8">
        <v>2.0</v>
      </c>
      <c r="V59" s="8">
        <v>0.0</v>
      </c>
      <c r="W59" s="21" t="str">
        <f t="shared" si="9"/>
        <v>Данные не заполены</v>
      </c>
      <c r="X59" s="15" t="str">
        <f t="shared" si="3"/>
        <v>Данные не заполены</v>
      </c>
      <c r="Y59" s="15">
        <f t="shared" si="4"/>
        <v>0</v>
      </c>
    </row>
    <row r="60" hidden="1">
      <c r="A60" s="7">
        <v>44106.31822256945</v>
      </c>
      <c r="B60" s="8" t="s">
        <v>76</v>
      </c>
      <c r="C60" s="8">
        <v>22011.0</v>
      </c>
      <c r="D60" s="8" t="s">
        <v>69</v>
      </c>
      <c r="F60" s="8" t="s">
        <v>80</v>
      </c>
      <c r="G60" s="8">
        <v>3047.0</v>
      </c>
      <c r="H60" s="8" t="s">
        <v>29</v>
      </c>
      <c r="I60" s="8" t="s">
        <v>77</v>
      </c>
      <c r="L60" s="8" t="s">
        <v>37</v>
      </c>
      <c r="P60" s="9">
        <v>44105.0</v>
      </c>
      <c r="Q60" s="10">
        <v>0.1875</v>
      </c>
      <c r="R60" s="13" t="str">
        <f t="shared" si="1"/>
        <v>Пайка компонентов SEC</v>
      </c>
      <c r="S60" s="16" t="str">
        <f>iferror(VLOOKUP(C60,'ФИО'!A:B,2,0),"учётный код не найден")</f>
        <v>Сергеев Алексей Андреевич</v>
      </c>
      <c r="T60" s="13" t="str">
        <f t="shared" si="2"/>
        <v>915-00081.A-Модуль Трик8 (Кибертех)</v>
      </c>
      <c r="U60" s="8">
        <v>40.0</v>
      </c>
      <c r="V60" s="8">
        <v>0.0</v>
      </c>
      <c r="W60" s="21" t="str">
        <f t="shared" si="9"/>
        <v>Данные не заполены</v>
      </c>
      <c r="X60" s="15" t="str">
        <f t="shared" si="3"/>
        <v>Данные не заполены</v>
      </c>
      <c r="Y60" s="15">
        <f t="shared" si="4"/>
        <v>0</v>
      </c>
    </row>
    <row r="61" hidden="1">
      <c r="A61" s="7">
        <v>44106.31862497685</v>
      </c>
      <c r="B61" s="8" t="s">
        <v>76</v>
      </c>
      <c r="C61" s="8">
        <v>22011.0</v>
      </c>
      <c r="D61" s="8" t="s">
        <v>69</v>
      </c>
      <c r="F61" s="8" t="s">
        <v>81</v>
      </c>
      <c r="G61" s="8">
        <v>3047.0</v>
      </c>
      <c r="H61" s="8" t="s">
        <v>29</v>
      </c>
      <c r="I61" s="8" t="s">
        <v>77</v>
      </c>
      <c r="L61" s="8" t="s">
        <v>37</v>
      </c>
      <c r="P61" s="9">
        <v>44105.0</v>
      </c>
      <c r="Q61" s="10">
        <v>0.20833333333575865</v>
      </c>
      <c r="R61" s="13" t="str">
        <f t="shared" si="1"/>
        <v>Проверка на АОИ SEC</v>
      </c>
      <c r="S61" s="16" t="str">
        <f>iferror(VLOOKUP(C61,'ФИО'!A:B,2,0),"учётный код не найден")</f>
        <v>Сергеев Алексей Андреевич</v>
      </c>
      <c r="T61" s="13" t="str">
        <f t="shared" si="2"/>
        <v>915-00081.A-Модуль Трик8 (Кибертех)</v>
      </c>
      <c r="U61" s="8">
        <v>40.0</v>
      </c>
      <c r="V61" s="8">
        <v>0.0</v>
      </c>
      <c r="W61" s="21" t="str">
        <f t="shared" si="9"/>
        <v>Данные не заполены</v>
      </c>
      <c r="X61" s="15" t="str">
        <f t="shared" si="3"/>
        <v>Данные не заполены</v>
      </c>
      <c r="Y61" s="15">
        <f t="shared" si="4"/>
        <v>0</v>
      </c>
    </row>
    <row r="62" hidden="1">
      <c r="A62" s="7">
        <v>44106.31223265047</v>
      </c>
      <c r="B62" s="8" t="s">
        <v>76</v>
      </c>
      <c r="C62" s="8">
        <v>21852.0</v>
      </c>
      <c r="D62" s="8" t="s">
        <v>27</v>
      </c>
      <c r="E62" s="8" t="s">
        <v>82</v>
      </c>
      <c r="G62" s="8">
        <v>3579.0</v>
      </c>
      <c r="H62" s="8" t="s">
        <v>29</v>
      </c>
      <c r="I62" s="8" t="s">
        <v>42</v>
      </c>
      <c r="L62" s="8" t="s">
        <v>31</v>
      </c>
      <c r="M62" s="8" t="s">
        <v>34</v>
      </c>
      <c r="N62" s="8"/>
      <c r="O62" s="8"/>
      <c r="P62" s="9">
        <v>44105.0</v>
      </c>
      <c r="Q62" s="10">
        <v>0.024305555554747116</v>
      </c>
      <c r="R62" s="13" t="str">
        <f t="shared" si="1"/>
        <v>Настройка установщиков</v>
      </c>
      <c r="S62" s="16" t="str">
        <f>iferror(VLOOKUP(C62,'ФИО'!A:B,2,0),"учётный код не найден")</f>
        <v>Пономарев Юрий Андреевич</v>
      </c>
      <c r="T62" s="13" t="str">
        <f t="shared" si="2"/>
        <v>915-00070.A - Модуль телематики ТМ1 v3 (Сознательные машины)</v>
      </c>
      <c r="U62" s="8">
        <v>1.0</v>
      </c>
      <c r="W62" s="21" t="str">
        <f t="shared" si="9"/>
        <v>Данные не заполены</v>
      </c>
      <c r="X62" s="15" t="str">
        <f t="shared" si="3"/>
        <v>Данные не заполены</v>
      </c>
      <c r="Y62" s="15">
        <f t="shared" si="4"/>
        <v>0</v>
      </c>
    </row>
    <row r="63" hidden="1">
      <c r="A63" s="7">
        <v>44106.312822858796</v>
      </c>
      <c r="B63" s="8" t="s">
        <v>76</v>
      </c>
      <c r="C63" s="8">
        <v>21852.0</v>
      </c>
      <c r="D63" s="8" t="s">
        <v>27</v>
      </c>
      <c r="E63" s="8" t="s">
        <v>67</v>
      </c>
      <c r="G63" s="8">
        <v>3579.0</v>
      </c>
      <c r="H63" s="8" t="s">
        <v>29</v>
      </c>
      <c r="I63" s="8" t="s">
        <v>42</v>
      </c>
      <c r="L63" s="8" t="s">
        <v>37</v>
      </c>
      <c r="P63" s="9">
        <v>44105.0</v>
      </c>
      <c r="Q63" s="10">
        <v>0.43402777778101154</v>
      </c>
      <c r="R63" s="13" t="str">
        <f t="shared" si="1"/>
        <v>Сборка на линии Prim</v>
      </c>
      <c r="S63" s="16" t="str">
        <f>iferror(VLOOKUP(C63,'ФИО'!A:B,2,0),"учётный код не найден")</f>
        <v>Пономарев Юрий Андреевич</v>
      </c>
      <c r="T63" s="13" t="str">
        <f t="shared" si="2"/>
        <v>915-00070.A - Модуль телематики ТМ1 v3 (Сознательные машины)</v>
      </c>
      <c r="U63" s="8">
        <v>0.0</v>
      </c>
      <c r="V63" s="8">
        <v>0.0</v>
      </c>
      <c r="W63" s="21" t="str">
        <f t="shared" si="9"/>
        <v>Данные не заполены</v>
      </c>
      <c r="X63" s="15" t="str">
        <f t="shared" si="3"/>
        <v>Данные не заполены</v>
      </c>
      <c r="Y63" s="15">
        <f t="shared" si="4"/>
        <v>0</v>
      </c>
    </row>
    <row r="64" hidden="1">
      <c r="A64" s="7">
        <v>44106.30884548611</v>
      </c>
      <c r="B64" s="8" t="s">
        <v>76</v>
      </c>
      <c r="C64" s="8">
        <v>20693.0</v>
      </c>
      <c r="D64" s="8" t="s">
        <v>27</v>
      </c>
      <c r="E64" s="8" t="s">
        <v>62</v>
      </c>
      <c r="G64" s="8">
        <v>3579.0</v>
      </c>
      <c r="H64" s="8" t="s">
        <v>29</v>
      </c>
      <c r="I64" s="8" t="s">
        <v>42</v>
      </c>
      <c r="L64" s="8" t="s">
        <v>37</v>
      </c>
      <c r="P64" s="9">
        <v>44105.0</v>
      </c>
      <c r="Q64" s="10">
        <v>0.45833333333575865</v>
      </c>
      <c r="R64" s="13" t="str">
        <f t="shared" si="1"/>
        <v>ReviewStation pri</v>
      </c>
      <c r="S64" s="16" t="str">
        <f>iferror(VLOOKUP(C64,'ФИО'!A:B,2,0),"учётный код не найден")</f>
        <v>Аникина Раиса Владимировна</v>
      </c>
      <c r="T64" s="13" t="str">
        <f t="shared" si="2"/>
        <v>915-00070.A - Модуль телематики ТМ1 v3 (Сознательные машины)</v>
      </c>
      <c r="V64" s="8">
        <v>183.0</v>
      </c>
      <c r="W64" s="21" t="str">
        <f t="shared" si="9"/>
        <v>Данные не заполены</v>
      </c>
      <c r="X64" s="15" t="str">
        <f t="shared" si="3"/>
        <v>Данные не заполены</v>
      </c>
      <c r="Y64" s="15">
        <f t="shared" si="4"/>
        <v>183</v>
      </c>
      <c r="Z64" s="8" t="s">
        <v>83</v>
      </c>
    </row>
    <row r="65" hidden="1">
      <c r="A65" s="7">
        <v>44106.307506770834</v>
      </c>
      <c r="B65" s="8" t="s">
        <v>76</v>
      </c>
      <c r="C65" s="8">
        <v>21504.0</v>
      </c>
      <c r="D65" s="8" t="s">
        <v>27</v>
      </c>
      <c r="E65" s="8" t="s">
        <v>67</v>
      </c>
      <c r="G65" s="8">
        <v>3579.0</v>
      </c>
      <c r="H65" s="8" t="s">
        <v>29</v>
      </c>
      <c r="I65" s="8" t="s">
        <v>42</v>
      </c>
      <c r="L65" s="8" t="s">
        <v>37</v>
      </c>
      <c r="P65" s="9">
        <v>44105.0</v>
      </c>
      <c r="Q65" s="10">
        <v>0.41666666666424135</v>
      </c>
      <c r="R65" s="13" t="str">
        <f t="shared" si="1"/>
        <v>Сборка на линии Prim</v>
      </c>
      <c r="S65" s="16" t="str">
        <f>iferror(VLOOKUP(C65,'ФИО'!A:B,2,0),"учётный код не найден")</f>
        <v>Александрова Елена Сергеевна</v>
      </c>
      <c r="T65" s="13" t="str">
        <f t="shared" si="2"/>
        <v>915-00070.A - Модуль телематики ТМ1 v3 (Сознательные машины)</v>
      </c>
      <c r="U65" s="8">
        <v>0.0</v>
      </c>
      <c r="V65" s="8">
        <v>0.0</v>
      </c>
      <c r="W65" s="21" t="str">
        <f t="shared" si="9"/>
        <v>Данные не заполены</v>
      </c>
      <c r="X65" s="15" t="str">
        <f t="shared" si="3"/>
        <v>Данные не заполены</v>
      </c>
      <c r="Y65" s="15">
        <f t="shared" si="4"/>
        <v>0</v>
      </c>
    </row>
    <row r="66" hidden="1">
      <c r="A66" s="7">
        <v>44106.30846572916</v>
      </c>
      <c r="B66" s="8" t="s">
        <v>76</v>
      </c>
      <c r="C66" s="8">
        <v>21504.0</v>
      </c>
      <c r="D66" s="8" t="s">
        <v>27</v>
      </c>
      <c r="E66" s="8" t="s">
        <v>84</v>
      </c>
      <c r="G66" s="8">
        <v>3579.0</v>
      </c>
      <c r="H66" s="8" t="s">
        <v>29</v>
      </c>
      <c r="I66" s="8" t="s">
        <v>42</v>
      </c>
      <c r="L66" s="8" t="s">
        <v>31</v>
      </c>
      <c r="M66" s="8" t="s">
        <v>34</v>
      </c>
      <c r="N66" s="8"/>
      <c r="O66" s="8"/>
      <c r="P66" s="9">
        <v>44105.0</v>
      </c>
      <c r="Q66" s="10">
        <v>0.027777777781011537</v>
      </c>
      <c r="R66" s="13" t="str">
        <f t="shared" si="1"/>
        <v>Настройка принтера Sec</v>
      </c>
      <c r="S66" s="16" t="str">
        <f>iferror(VLOOKUP(C66,'ФИО'!A:B,2,0),"учётный код не найден")</f>
        <v>Александрова Елена Сергеевна</v>
      </c>
      <c r="T66" s="13" t="str">
        <f t="shared" si="2"/>
        <v>915-00070.A - Модуль телематики ТМ1 v3 (Сознательные машины)</v>
      </c>
      <c r="U66" s="8">
        <v>0.0</v>
      </c>
      <c r="V66" s="8">
        <v>0.0</v>
      </c>
      <c r="W66" s="21" t="str">
        <f t="shared" si="9"/>
        <v>Данные не заполены</v>
      </c>
      <c r="X66" s="15" t="str">
        <f t="shared" si="3"/>
        <v>Данные не заполены</v>
      </c>
      <c r="Y66" s="15">
        <f t="shared" si="4"/>
        <v>0</v>
      </c>
    </row>
    <row r="67" hidden="1">
      <c r="A67" s="7">
        <v>44106.3089684375</v>
      </c>
      <c r="B67" s="8" t="s">
        <v>76</v>
      </c>
      <c r="C67" s="8">
        <v>21504.0</v>
      </c>
      <c r="D67" s="8" t="s">
        <v>27</v>
      </c>
      <c r="E67" s="8" t="s">
        <v>85</v>
      </c>
      <c r="G67" s="8">
        <v>3579.0</v>
      </c>
      <c r="H67" s="8" t="s">
        <v>29</v>
      </c>
      <c r="I67" s="8" t="s">
        <v>42</v>
      </c>
      <c r="L67" s="8" t="s">
        <v>31</v>
      </c>
      <c r="M67" s="8" t="s">
        <v>34</v>
      </c>
      <c r="N67" s="8"/>
      <c r="O67" s="8"/>
      <c r="P67" s="9">
        <v>44105.0</v>
      </c>
      <c r="Q67" s="10">
        <v>0.013888888890505768</v>
      </c>
      <c r="R67" s="13" t="str">
        <f t="shared" si="1"/>
        <v>Очистка трафаретного принтера</v>
      </c>
      <c r="S67" s="16" t="str">
        <f>iferror(VLOOKUP(C67,'ФИО'!A:B,2,0),"учётный код не найден")</f>
        <v>Александрова Елена Сергеевна</v>
      </c>
      <c r="T67" s="13" t="str">
        <f t="shared" si="2"/>
        <v>915-00070.A - Модуль телематики ТМ1 v3 (Сознательные машины)</v>
      </c>
      <c r="U67" s="8">
        <v>1.0</v>
      </c>
      <c r="V67" s="8">
        <v>0.0</v>
      </c>
      <c r="W67" s="21" t="str">
        <f t="shared" si="9"/>
        <v>Данные не заполены</v>
      </c>
      <c r="X67" s="15" t="str">
        <f t="shared" si="3"/>
        <v>Данные не заполены</v>
      </c>
      <c r="Y67" s="15">
        <f t="shared" si="4"/>
        <v>0</v>
      </c>
    </row>
    <row r="68" hidden="1">
      <c r="A68" s="7">
        <v>44106.35530570602</v>
      </c>
      <c r="B68" s="8" t="s">
        <v>26</v>
      </c>
      <c r="C68" s="8">
        <v>21544.0</v>
      </c>
      <c r="D68" s="8" t="s">
        <v>27</v>
      </c>
      <c r="E68" s="8" t="s">
        <v>86</v>
      </c>
      <c r="L68" s="8" t="s">
        <v>31</v>
      </c>
      <c r="M68" s="8" t="s">
        <v>34</v>
      </c>
      <c r="N68" s="8"/>
      <c r="O68" s="8"/>
      <c r="P68" s="9">
        <v>44105.0</v>
      </c>
      <c r="Q68" s="10">
        <v>0.25</v>
      </c>
      <c r="R68" s="13" t="str">
        <f t="shared" si="1"/>
        <v>Проведение обучения</v>
      </c>
      <c r="S68" s="16" t="str">
        <f>iferror(VLOOKUP(C68,'ФИО'!A:B,2,0),"учётный код не найден")</f>
        <v>Анфалов Сергей Андреевич</v>
      </c>
      <c r="T68" s="13" t="str">
        <f t="shared" si="2"/>
        <v/>
      </c>
      <c r="W68" s="21" t="str">
        <f t="shared" si="9"/>
        <v>Данные не заполены</v>
      </c>
      <c r="X68" s="15" t="str">
        <f t="shared" si="3"/>
        <v>Данные не заполены</v>
      </c>
      <c r="Y68" s="15">
        <f t="shared" si="4"/>
        <v>0</v>
      </c>
    </row>
    <row r="69" hidden="1">
      <c r="A69" s="7">
        <v>44106.355629513884</v>
      </c>
      <c r="B69" s="8" t="s">
        <v>26</v>
      </c>
      <c r="C69" s="8">
        <v>21544.0</v>
      </c>
      <c r="D69" s="8" t="s">
        <v>27</v>
      </c>
      <c r="E69" s="8" t="s">
        <v>68</v>
      </c>
      <c r="L69" s="8" t="s">
        <v>31</v>
      </c>
      <c r="M69" s="8" t="s">
        <v>34</v>
      </c>
      <c r="N69" s="8"/>
      <c r="O69" s="8"/>
      <c r="P69" s="9">
        <v>44105.0</v>
      </c>
      <c r="Q69" s="10">
        <v>0.125</v>
      </c>
      <c r="R69" s="13" t="str">
        <f t="shared" si="1"/>
        <v>Прохождение обучения</v>
      </c>
      <c r="S69" s="16" t="str">
        <f>iferror(VLOOKUP(C69,'ФИО'!A:B,2,0),"учётный код не найден")</f>
        <v>Анфалов Сергей Андреевич</v>
      </c>
      <c r="T69" s="13" t="str">
        <f t="shared" si="2"/>
        <v/>
      </c>
      <c r="W69" s="21" t="str">
        <f t="shared" si="9"/>
        <v>Данные не заполены</v>
      </c>
      <c r="X69" s="15" t="str">
        <f t="shared" si="3"/>
        <v>Данные не заполены</v>
      </c>
      <c r="Y69" s="15">
        <f t="shared" si="4"/>
        <v>0</v>
      </c>
    </row>
    <row r="70" hidden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1" t="str">
        <f t="shared" si="1"/>
        <v/>
      </c>
      <c r="S70" s="16" t="str">
        <f>iferror(VLOOKUP(C70,'ФИО'!A:B,2,0),"учётный код не найден")</f>
        <v>учётный код не найден</v>
      </c>
      <c r="T70" s="13" t="str">
        <f t="shared" si="2"/>
        <v/>
      </c>
      <c r="U70" s="16"/>
      <c r="V70" s="16"/>
      <c r="W70" s="23"/>
      <c r="X70" s="14"/>
      <c r="Y70" s="15"/>
      <c r="Z70" s="11"/>
    </row>
    <row r="71" hidden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1" t="str">
        <f t="shared" si="1"/>
        <v/>
      </c>
      <c r="S71" s="16" t="str">
        <f>iferror(VLOOKUP(C71,'ФИО'!A:B,2,0),"учётный код не найден")</f>
        <v>учётный код не найден</v>
      </c>
      <c r="T71" s="13" t="str">
        <f t="shared" si="2"/>
        <v/>
      </c>
      <c r="U71" s="16"/>
      <c r="V71" s="16"/>
      <c r="W71" s="23"/>
      <c r="X71" s="14"/>
      <c r="Y71" s="15"/>
      <c r="Z71" s="11"/>
    </row>
    <row r="72" hidden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1" t="str">
        <f t="shared" si="1"/>
        <v/>
      </c>
      <c r="S72" s="16" t="str">
        <f>iferror(VLOOKUP(C72,'ФИО'!A:B,2,0),"учётный код не найден")</f>
        <v>учётный код не найден</v>
      </c>
      <c r="T72" s="13" t="str">
        <f t="shared" si="2"/>
        <v/>
      </c>
      <c r="U72" s="16"/>
      <c r="V72" s="16"/>
      <c r="W72" s="23"/>
      <c r="X72" s="14"/>
      <c r="Y72" s="15"/>
      <c r="Z72" s="11"/>
    </row>
    <row r="73" hidden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1" t="str">
        <f t="shared" si="1"/>
        <v/>
      </c>
      <c r="S73" s="16" t="str">
        <f>iferror(VLOOKUP(C73,'ФИО'!A:B,2,0),"учётный код не найден")</f>
        <v>учётный код не найден</v>
      </c>
      <c r="T73" s="13" t="str">
        <f t="shared" si="2"/>
        <v/>
      </c>
      <c r="U73" s="16"/>
      <c r="V73" s="16"/>
      <c r="W73" s="23"/>
      <c r="X73" s="14"/>
      <c r="Y73" s="15"/>
      <c r="Z73" s="11"/>
    </row>
    <row r="74" hidden="1">
      <c r="A74" s="7">
        <v>44106.82544645833</v>
      </c>
      <c r="B74" s="8" t="s">
        <v>87</v>
      </c>
      <c r="C74" s="8">
        <v>50000.0</v>
      </c>
      <c r="D74" s="8" t="s">
        <v>27</v>
      </c>
      <c r="E74" s="8" t="s">
        <v>88</v>
      </c>
      <c r="G74" s="8">
        <v>3579.0</v>
      </c>
      <c r="H74" s="8" t="s">
        <v>29</v>
      </c>
      <c r="I74" s="8" t="s">
        <v>42</v>
      </c>
      <c r="L74" s="8" t="s">
        <v>37</v>
      </c>
      <c r="P74" s="9">
        <v>44106.0</v>
      </c>
      <c r="Q74" s="10">
        <v>0.03819444444444445</v>
      </c>
      <c r="R74" s="13" t="str">
        <f t="shared" si="1"/>
        <v>Сборка на линии Sec</v>
      </c>
      <c r="S74" s="16" t="str">
        <f>iferror(VLOOKUP(C74,'ФИО'!A:B,2,0),"учётный код не найден")</f>
        <v>SMT</v>
      </c>
      <c r="T74" s="13" t="str">
        <f t="shared" si="2"/>
        <v>915-00070.A - Модуль телематики ТМ1 v3 (Сознательные машины)</v>
      </c>
      <c r="U74" s="8">
        <v>114.0</v>
      </c>
      <c r="V74" s="8">
        <v>0.0</v>
      </c>
      <c r="W74" s="21" t="str">
        <f t="shared" ref="W74:W75" si="10">IFERROR((((38412/(ifs(O74&lt;35,35,O74&gt;34,O74)/N74)*0.7))),"Данные не заполены")</f>
        <v>Данные не заполены</v>
      </c>
      <c r="X74" s="15" t="str">
        <f t="shared" ref="X74:X75" si="11">IFERROR((((V74+U74)/Q74)/24)/(W74/11),"Данные не заполены")</f>
        <v>Данные не заполены</v>
      </c>
      <c r="Y74" s="15">
        <f t="shared" ref="Y74:Y75" si="12">iferror((V74/if(U74=0,1,U74)),0)</f>
        <v>0</v>
      </c>
    </row>
    <row r="75" hidden="1">
      <c r="A75" s="7">
        <v>44106.82948127315</v>
      </c>
      <c r="B75" s="8" t="s">
        <v>87</v>
      </c>
      <c r="C75" s="8">
        <v>60000.0</v>
      </c>
      <c r="D75" s="8" t="s">
        <v>69</v>
      </c>
      <c r="F75" s="8" t="s">
        <v>72</v>
      </c>
      <c r="G75" s="8">
        <v>3047.0</v>
      </c>
      <c r="H75" s="8" t="s">
        <v>29</v>
      </c>
      <c r="I75" s="8" t="s">
        <v>77</v>
      </c>
      <c r="L75" s="8" t="s">
        <v>37</v>
      </c>
      <c r="P75" s="9">
        <v>44106.0</v>
      </c>
      <c r="Q75" s="10">
        <v>0.20833333333333334</v>
      </c>
      <c r="R75" s="13" t="str">
        <f t="shared" si="1"/>
        <v>Пайка компонентов PRI</v>
      </c>
      <c r="S75" s="12" t="str">
        <f>iferror(VLOOKUP(C75,'ФИО'!A:B,2,0),"учётный код не найден")</f>
        <v>THT</v>
      </c>
      <c r="T75" s="13" t="str">
        <f t="shared" si="2"/>
        <v>915-00081.A-Модуль Трик8 (Кибертех)</v>
      </c>
      <c r="U75" s="8">
        <v>140.0</v>
      </c>
      <c r="V75" s="8">
        <v>0.0</v>
      </c>
      <c r="W75" s="21" t="str">
        <f t="shared" si="10"/>
        <v>Данные не заполены</v>
      </c>
      <c r="X75" s="15" t="str">
        <f t="shared" si="11"/>
        <v>Данные не заполены</v>
      </c>
      <c r="Y75" s="15">
        <f t="shared" si="12"/>
        <v>0</v>
      </c>
    </row>
    <row r="76" hidden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1" t="str">
        <f t="shared" si="1"/>
        <v/>
      </c>
      <c r="S76" s="16" t="str">
        <f>iferror(VLOOKUP(C76,'ФИО'!A:B,2,0),"учётный код не найден")</f>
        <v>учётный код не найден</v>
      </c>
      <c r="T76" s="13" t="str">
        <f t="shared" si="2"/>
        <v/>
      </c>
      <c r="U76" s="16"/>
      <c r="V76" s="16"/>
      <c r="W76" s="23"/>
      <c r="X76" s="14"/>
      <c r="Y76" s="15"/>
      <c r="Z76" s="11"/>
    </row>
    <row r="77" hidden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1" t="str">
        <f t="shared" si="1"/>
        <v/>
      </c>
      <c r="S77" s="16" t="str">
        <f>iferror(VLOOKUP(C77,'ФИО'!A:B,2,0),"учётный код не найден")</f>
        <v>учётный код не найден</v>
      </c>
      <c r="T77" s="13" t="str">
        <f t="shared" si="2"/>
        <v/>
      </c>
      <c r="U77" s="16"/>
      <c r="V77" s="16"/>
      <c r="W77" s="23"/>
      <c r="X77" s="14"/>
      <c r="Y77" s="15"/>
      <c r="Z77" s="11"/>
    </row>
    <row r="78" hidden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1" t="str">
        <f t="shared" si="1"/>
        <v/>
      </c>
      <c r="S78" s="16" t="str">
        <f>iferror(VLOOKUP(C78,'ФИО'!A:B,2,0),"учётный код не найден")</f>
        <v>учётный код не найден</v>
      </c>
      <c r="T78" s="13" t="str">
        <f t="shared" si="2"/>
        <v/>
      </c>
      <c r="U78" s="16"/>
      <c r="V78" s="16"/>
      <c r="W78" s="23"/>
      <c r="X78" s="14"/>
      <c r="Y78" s="15"/>
      <c r="Z78" s="11"/>
    </row>
    <row r="79" hidden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1" t="str">
        <f t="shared" si="1"/>
        <v/>
      </c>
      <c r="S79" s="16" t="str">
        <f>iferror(VLOOKUP(C79,'ФИО'!A:B,2,0),"учётный код не найден")</f>
        <v>учётный код не найден</v>
      </c>
      <c r="T79" s="13" t="str">
        <f t="shared" si="2"/>
        <v/>
      </c>
      <c r="U79" s="16"/>
      <c r="V79" s="16"/>
      <c r="W79" s="23"/>
      <c r="X79" s="14"/>
      <c r="Y79" s="15"/>
      <c r="Z79" s="11"/>
    </row>
    <row r="80" hidden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1" t="str">
        <f t="shared" si="1"/>
        <v/>
      </c>
      <c r="S80" s="16" t="str">
        <f>iferror(VLOOKUP(C80,'ФИО'!A:B,2,0),"учётный код не найден")</f>
        <v>учётный код не найден</v>
      </c>
      <c r="T80" s="13" t="str">
        <f t="shared" si="2"/>
        <v/>
      </c>
      <c r="U80" s="16"/>
      <c r="V80" s="16"/>
      <c r="W80" s="23"/>
      <c r="X80" s="14"/>
      <c r="Y80" s="15"/>
      <c r="Z80" s="11"/>
    </row>
    <row r="81" hidden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1" t="str">
        <f t="shared" si="1"/>
        <v/>
      </c>
      <c r="S81" s="16" t="str">
        <f>iferror(VLOOKUP(C81,'ФИО'!A:B,2,0),"учётный код не найден")</f>
        <v>учётный код не найден</v>
      </c>
      <c r="T81" s="13" t="str">
        <f t="shared" si="2"/>
        <v/>
      </c>
      <c r="U81" s="16"/>
      <c r="V81" s="16"/>
      <c r="W81" s="23"/>
      <c r="X81" s="14"/>
      <c r="Y81" s="15"/>
      <c r="Z81" s="11"/>
    </row>
    <row r="82" hidden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1" t="str">
        <f t="shared" si="1"/>
        <v/>
      </c>
      <c r="S82" s="16" t="str">
        <f>iferror(VLOOKUP(C82,'ФИО'!A:B,2,0),"учётный код не найден")</f>
        <v>учётный код не найден</v>
      </c>
      <c r="T82" s="13" t="str">
        <f t="shared" si="2"/>
        <v/>
      </c>
      <c r="U82" s="16"/>
      <c r="V82" s="16"/>
      <c r="W82" s="23"/>
      <c r="X82" s="14"/>
      <c r="Y82" s="15"/>
      <c r="Z82" s="11"/>
    </row>
    <row r="83" hidden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1" t="str">
        <f t="shared" si="1"/>
        <v/>
      </c>
      <c r="S83" s="16" t="str">
        <f>iferror(VLOOKUP(C83,'ФИО'!A:B,2,0),"учётный код не найден")</f>
        <v>учётный код не найден</v>
      </c>
      <c r="T83" s="13" t="str">
        <f t="shared" si="2"/>
        <v/>
      </c>
      <c r="U83" s="16"/>
      <c r="V83" s="16"/>
      <c r="W83" s="23"/>
      <c r="X83" s="14"/>
      <c r="Y83" s="15"/>
      <c r="Z83" s="11"/>
    </row>
    <row r="84" hidden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1" t="str">
        <f t="shared" si="1"/>
        <v/>
      </c>
      <c r="S84" s="16" t="str">
        <f>iferror(VLOOKUP(C84,'ФИО'!A:B,2,0),"учётный код не найден")</f>
        <v>учётный код не найден</v>
      </c>
      <c r="T84" s="13" t="str">
        <f t="shared" si="2"/>
        <v/>
      </c>
      <c r="U84" s="16"/>
      <c r="V84" s="16"/>
      <c r="W84" s="23"/>
      <c r="X84" s="14"/>
      <c r="Y84" s="15"/>
      <c r="Z84" s="11"/>
    </row>
    <row r="85" hidden="1">
      <c r="A85" s="7">
        <v>44119.8319714699</v>
      </c>
      <c r="B85" s="8" t="s">
        <v>89</v>
      </c>
      <c r="C85" s="8">
        <v>22011.0</v>
      </c>
      <c r="D85" s="8" t="s">
        <v>27</v>
      </c>
      <c r="E85" s="8" t="s">
        <v>41</v>
      </c>
      <c r="G85" s="8">
        <v>3622.0</v>
      </c>
      <c r="H85" s="8" t="s">
        <v>29</v>
      </c>
      <c r="I85" s="8" t="s">
        <v>90</v>
      </c>
      <c r="L85" s="8" t="s">
        <v>37</v>
      </c>
      <c r="P85" s="9">
        <v>44119.0</v>
      </c>
      <c r="Q85" s="10">
        <v>0.020833333335758653</v>
      </c>
      <c r="R85" s="11" t="str">
        <f t="shared" si="1"/>
        <v>Верификация заказа Waggon (после сборки)</v>
      </c>
      <c r="S85" s="16" t="str">
        <f>iferror(VLOOKUP(C85,'ФИО'!A:B,2,0),"учётный код не найден")</f>
        <v>Сергеев Алексей Андреевич</v>
      </c>
      <c r="T85" s="13" t="str">
        <f t="shared" si="2"/>
        <v>915-00124.A - Tioga Pass_v1.1 (Гагар.ин)</v>
      </c>
      <c r="U85" s="8">
        <v>0.0</v>
      </c>
      <c r="V85" s="8">
        <v>0.0</v>
      </c>
      <c r="W85" s="17" t="str">
        <f t="shared" ref="W85:W96" si="13">IFERROR((((38412/(ifs(O85&lt;35,35,O85&gt;34,O85)/N85)*0.7))),"Данные не заполены")</f>
        <v>Данные не заполены</v>
      </c>
      <c r="X85" s="14" t="str">
        <f t="shared" ref="X85:X177" si="14">IFERROR((((V85+U85)/Q85)/24)/(W85/11),"Данные не заполены")</f>
        <v>Данные не заполены</v>
      </c>
      <c r="Y85" s="15">
        <f t="shared" ref="Y85:Y177" si="15">iferror((V85/if(U85=0,1,U85)),0)</f>
        <v>0</v>
      </c>
    </row>
    <row r="86" hidden="1">
      <c r="A86" s="7">
        <v>44108.31684890046</v>
      </c>
      <c r="B86" s="8" t="s">
        <v>38</v>
      </c>
      <c r="C86" s="8">
        <v>21752.0</v>
      </c>
      <c r="D86" s="8" t="s">
        <v>27</v>
      </c>
      <c r="E86" s="8" t="s">
        <v>51</v>
      </c>
      <c r="G86" s="8">
        <v>3706.0</v>
      </c>
      <c r="H86" s="8" t="s">
        <v>45</v>
      </c>
      <c r="K86" s="8" t="s">
        <v>91</v>
      </c>
      <c r="L86" s="8" t="s">
        <v>31</v>
      </c>
      <c r="M86" s="8" t="s">
        <v>92</v>
      </c>
      <c r="N86" s="8"/>
      <c r="O86" s="8"/>
      <c r="P86" s="9">
        <v>44107.0</v>
      </c>
      <c r="Q86" s="10">
        <v>0.0625</v>
      </c>
      <c r="R86" s="11" t="str">
        <f t="shared" si="1"/>
        <v>Внутрисхемное тестирование ICT</v>
      </c>
      <c r="S86" s="16" t="str">
        <f>iferror(VLOOKUP(C86,'ФИО'!A:B,2,0),"учётный код не найден")</f>
        <v>Егоров Александр Александрович</v>
      </c>
      <c r="T86" s="13" t="str">
        <f t="shared" si="2"/>
        <v>ПУ Сигма 10/15 910-00080.D</v>
      </c>
      <c r="U86" s="8">
        <v>48.0</v>
      </c>
      <c r="V86" s="8">
        <v>2.0</v>
      </c>
      <c r="W86" s="21" t="str">
        <f t="shared" si="13"/>
        <v>Данные не заполены</v>
      </c>
      <c r="X86" s="15" t="str">
        <f t="shared" si="14"/>
        <v>Данные не заполены</v>
      </c>
      <c r="Y86" s="15">
        <f t="shared" si="15"/>
        <v>0.04166666667</v>
      </c>
    </row>
    <row r="87" hidden="1">
      <c r="A87" s="7">
        <v>44109.32838190973</v>
      </c>
      <c r="B87" s="8" t="s">
        <v>38</v>
      </c>
      <c r="C87" s="8">
        <v>21752.0</v>
      </c>
      <c r="D87" s="8" t="s">
        <v>27</v>
      </c>
      <c r="E87" s="8" t="s">
        <v>51</v>
      </c>
      <c r="G87" s="8">
        <v>3726.0</v>
      </c>
      <c r="H87" s="8" t="s">
        <v>45</v>
      </c>
      <c r="K87" s="8" t="s">
        <v>58</v>
      </c>
      <c r="L87" s="8" t="s">
        <v>31</v>
      </c>
      <c r="M87" s="8" t="s">
        <v>34</v>
      </c>
      <c r="N87" s="8"/>
      <c r="O87" s="8"/>
      <c r="P87" s="9">
        <v>44108.0</v>
      </c>
      <c r="Q87" s="10">
        <v>0.020833333335758653</v>
      </c>
      <c r="R87" s="11" t="str">
        <f t="shared" si="1"/>
        <v>Внутрисхемное тестирование ICT</v>
      </c>
      <c r="S87" s="16" t="str">
        <f>iferror(VLOOKUP(C87,'ФИО'!A:B,2,0),"учётный код не найден")</f>
        <v>Егоров Александр Александрович</v>
      </c>
      <c r="T87" s="13" t="str">
        <f t="shared" si="2"/>
        <v>ПУ метки i95</v>
      </c>
      <c r="U87" s="8">
        <v>24.0</v>
      </c>
      <c r="V87" s="8">
        <v>0.0</v>
      </c>
      <c r="W87" s="21" t="str">
        <f t="shared" si="13"/>
        <v>Данные не заполены</v>
      </c>
      <c r="X87" s="15" t="str">
        <f t="shared" si="14"/>
        <v>Данные не заполены</v>
      </c>
      <c r="Y87" s="15">
        <f t="shared" si="15"/>
        <v>0</v>
      </c>
      <c r="Z87" s="8" t="s">
        <v>93</v>
      </c>
    </row>
    <row r="88" hidden="1">
      <c r="A88" s="7">
        <v>44118.31362487268</v>
      </c>
      <c r="B88" s="8" t="s">
        <v>94</v>
      </c>
      <c r="C88" s="8">
        <v>22131.0</v>
      </c>
      <c r="D88" s="8" t="s">
        <v>27</v>
      </c>
      <c r="E88" s="8" t="s">
        <v>28</v>
      </c>
      <c r="G88" s="8">
        <v>3622.0</v>
      </c>
      <c r="H88" s="8" t="s">
        <v>29</v>
      </c>
      <c r="I88" s="8" t="s">
        <v>90</v>
      </c>
      <c r="L88" s="8" t="s">
        <v>31</v>
      </c>
      <c r="M88" s="8" t="s">
        <v>34</v>
      </c>
      <c r="P88" s="9">
        <v>44117.0</v>
      </c>
      <c r="Q88" s="10">
        <v>0.0625</v>
      </c>
      <c r="R88" s="11" t="str">
        <f t="shared" si="1"/>
        <v>Выполнение дополнительных работ на линии</v>
      </c>
      <c r="S88" s="16" t="str">
        <f>iferror(VLOOKUP(C88,'ФИО'!A:B,2,0),"учётный код не найден")</f>
        <v>Стосик Степан Владимирович</v>
      </c>
      <c r="T88" s="13" t="str">
        <f t="shared" si="2"/>
        <v>915-00124.A - Tioga Pass_v1.1 (Гагар.ин)</v>
      </c>
      <c r="U88" s="8">
        <v>0.0</v>
      </c>
      <c r="V88" s="8">
        <v>0.0</v>
      </c>
      <c r="W88" s="17" t="str">
        <f t="shared" si="13"/>
        <v>Данные не заполены</v>
      </c>
      <c r="X88" s="14" t="str">
        <f t="shared" si="14"/>
        <v>Данные не заполены</v>
      </c>
      <c r="Y88" s="15">
        <f t="shared" si="15"/>
        <v>0</v>
      </c>
    </row>
    <row r="89" hidden="1">
      <c r="A89" s="7">
        <v>44118.327199050924</v>
      </c>
      <c r="B89" s="8" t="s">
        <v>94</v>
      </c>
      <c r="C89" s="8">
        <v>21426.0</v>
      </c>
      <c r="D89" s="8" t="s">
        <v>27</v>
      </c>
      <c r="E89" s="8" t="s">
        <v>28</v>
      </c>
      <c r="G89" s="8">
        <v>3622.0</v>
      </c>
      <c r="H89" s="8" t="s">
        <v>29</v>
      </c>
      <c r="I89" s="8" t="s">
        <v>90</v>
      </c>
      <c r="L89" s="8" t="s">
        <v>31</v>
      </c>
      <c r="M89" s="8" t="s">
        <v>34</v>
      </c>
      <c r="P89" s="9">
        <v>44117.0</v>
      </c>
      <c r="Q89" s="10">
        <v>0.125</v>
      </c>
      <c r="R89" s="11" t="str">
        <f t="shared" si="1"/>
        <v>Выполнение дополнительных работ на линии</v>
      </c>
      <c r="S89" s="16" t="str">
        <f>iferror(VLOOKUP(C89,'ФИО'!A:B,2,0),"учётный код не найден")</f>
        <v>Скибинский Антон Германович</v>
      </c>
      <c r="T89" s="13" t="str">
        <f t="shared" si="2"/>
        <v>915-00124.A - Tioga Pass_v1.1 (Гагар.ин)</v>
      </c>
      <c r="U89" s="8">
        <v>0.0</v>
      </c>
      <c r="V89" s="8">
        <v>0.0</v>
      </c>
      <c r="W89" s="17" t="str">
        <f t="shared" si="13"/>
        <v>Данные не заполены</v>
      </c>
      <c r="X89" s="14" t="str">
        <f t="shared" si="14"/>
        <v>Данные не заполены</v>
      </c>
      <c r="Y89" s="15">
        <f t="shared" si="15"/>
        <v>0</v>
      </c>
    </row>
    <row r="90" hidden="1">
      <c r="A90" s="7">
        <v>44106.78159506945</v>
      </c>
      <c r="B90" s="8" t="s">
        <v>87</v>
      </c>
      <c r="C90" s="8">
        <v>22575.0</v>
      </c>
      <c r="D90" s="8" t="s">
        <v>27</v>
      </c>
      <c r="E90" s="8" t="s">
        <v>82</v>
      </c>
      <c r="G90" s="8">
        <v>3579.0</v>
      </c>
      <c r="H90" s="8" t="s">
        <v>29</v>
      </c>
      <c r="I90" s="8" t="s">
        <v>42</v>
      </c>
      <c r="L90" s="8" t="s">
        <v>31</v>
      </c>
      <c r="M90" s="8" t="s">
        <v>34</v>
      </c>
      <c r="N90" s="8"/>
      <c r="O90" s="8"/>
      <c r="P90" s="9">
        <v>44106.0</v>
      </c>
      <c r="Q90" s="10">
        <v>0.024305555554747116</v>
      </c>
      <c r="R90" s="13" t="str">
        <f t="shared" si="1"/>
        <v>Настройка установщиков</v>
      </c>
      <c r="S90" s="16" t="str">
        <f>iferror(VLOOKUP(C90,'ФИО'!A:B,2,0),"учётный код не найден")</f>
        <v>Куликов Виктор Алексеевич</v>
      </c>
      <c r="T90" s="13" t="str">
        <f t="shared" si="2"/>
        <v>915-00070.A - Модуль телематики ТМ1 v3 (Сознательные машины)</v>
      </c>
      <c r="U90" s="8">
        <v>1.0</v>
      </c>
      <c r="V90" s="8">
        <v>0.0</v>
      </c>
      <c r="W90" s="21" t="str">
        <f t="shared" si="13"/>
        <v>Данные не заполены</v>
      </c>
      <c r="X90" s="15" t="str">
        <f t="shared" si="14"/>
        <v>Данные не заполены</v>
      </c>
      <c r="Y90" s="15">
        <f t="shared" si="15"/>
        <v>0</v>
      </c>
    </row>
    <row r="91" hidden="1">
      <c r="A91" s="7">
        <v>44118.834749560185</v>
      </c>
      <c r="B91" s="8" t="s">
        <v>89</v>
      </c>
      <c r="C91" s="8">
        <v>22011.0</v>
      </c>
      <c r="D91" s="8" t="s">
        <v>27</v>
      </c>
      <c r="E91" s="8" t="s">
        <v>28</v>
      </c>
      <c r="G91" s="8">
        <v>3622.0</v>
      </c>
      <c r="H91" s="8" t="s">
        <v>29</v>
      </c>
      <c r="I91" s="8" t="s">
        <v>90</v>
      </c>
      <c r="L91" s="8" t="s">
        <v>31</v>
      </c>
      <c r="M91" s="8" t="s">
        <v>34</v>
      </c>
      <c r="P91" s="9">
        <v>44118.0</v>
      </c>
      <c r="Q91" s="10">
        <v>0.03472222221898846</v>
      </c>
      <c r="R91" s="11" t="str">
        <f t="shared" si="1"/>
        <v>Выполнение дополнительных работ на линии</v>
      </c>
      <c r="S91" s="16" t="str">
        <f>iferror(VLOOKUP(C91,'ФИО'!A:B,2,0),"учётный код не найден")</f>
        <v>Сергеев Алексей Андреевич</v>
      </c>
      <c r="T91" s="13" t="str">
        <f t="shared" si="2"/>
        <v>915-00124.A - Tioga Pass_v1.1 (Гагар.ин)</v>
      </c>
      <c r="U91" s="8">
        <v>0.0</v>
      </c>
      <c r="V91" s="8">
        <v>0.0</v>
      </c>
      <c r="W91" s="17" t="str">
        <f t="shared" si="13"/>
        <v>Данные не заполены</v>
      </c>
      <c r="X91" s="14" t="str">
        <f t="shared" si="14"/>
        <v>Данные не заполены</v>
      </c>
      <c r="Y91" s="15">
        <f t="shared" si="15"/>
        <v>0</v>
      </c>
    </row>
    <row r="92" hidden="1">
      <c r="A92" s="7">
        <v>44119.31125953703</v>
      </c>
      <c r="B92" s="8" t="s">
        <v>94</v>
      </c>
      <c r="C92" s="8">
        <v>22131.0</v>
      </c>
      <c r="D92" s="8" t="s">
        <v>27</v>
      </c>
      <c r="E92" s="8" t="s">
        <v>28</v>
      </c>
      <c r="G92" s="8">
        <v>3266.0</v>
      </c>
      <c r="H92" s="8" t="s">
        <v>29</v>
      </c>
      <c r="I92" s="8" t="s">
        <v>90</v>
      </c>
      <c r="L92" s="8" t="s">
        <v>31</v>
      </c>
      <c r="M92" s="8" t="s">
        <v>34</v>
      </c>
      <c r="P92" s="9">
        <v>44118.0</v>
      </c>
      <c r="Q92" s="10">
        <v>0.0625</v>
      </c>
      <c r="R92" s="11" t="str">
        <f t="shared" si="1"/>
        <v>Выполнение дополнительных работ на линии</v>
      </c>
      <c r="S92" s="16" t="str">
        <f>iferror(VLOOKUP(C92,'ФИО'!A:B,2,0),"учётный код не найден")</f>
        <v>Стосик Степан Владимирович</v>
      </c>
      <c r="T92" s="13" t="str">
        <f t="shared" si="2"/>
        <v>915-00124.A - Tioga Pass_v1.1 (Гагар.ин)</v>
      </c>
      <c r="U92" s="8">
        <v>0.0</v>
      </c>
      <c r="V92" s="8">
        <v>0.0</v>
      </c>
      <c r="W92" s="17" t="str">
        <f t="shared" si="13"/>
        <v>Данные не заполены</v>
      </c>
      <c r="X92" s="14" t="str">
        <f t="shared" si="14"/>
        <v>Данные не заполены</v>
      </c>
      <c r="Y92" s="15">
        <f t="shared" si="15"/>
        <v>0</v>
      </c>
    </row>
    <row r="93" hidden="1">
      <c r="A93" s="7">
        <v>44119.3222965625</v>
      </c>
      <c r="B93" s="8" t="s">
        <v>94</v>
      </c>
      <c r="C93" s="8">
        <v>21426.0</v>
      </c>
      <c r="D93" s="8" t="s">
        <v>27</v>
      </c>
      <c r="E93" s="8" t="s">
        <v>28</v>
      </c>
      <c r="G93" s="8">
        <v>3622.0</v>
      </c>
      <c r="H93" s="8" t="s">
        <v>29</v>
      </c>
      <c r="I93" s="8" t="s">
        <v>90</v>
      </c>
      <c r="L93" s="8" t="s">
        <v>31</v>
      </c>
      <c r="M93" s="8" t="s">
        <v>34</v>
      </c>
      <c r="P93" s="9">
        <v>44118.0</v>
      </c>
      <c r="Q93" s="10">
        <v>0.08333333333575865</v>
      </c>
      <c r="R93" s="11" t="str">
        <f t="shared" si="1"/>
        <v>Выполнение дополнительных работ на линии</v>
      </c>
      <c r="S93" s="16" t="str">
        <f>iferror(VLOOKUP(C93,'ФИО'!A:B,2,0),"учётный код не найден")</f>
        <v>Скибинский Антон Германович</v>
      </c>
      <c r="T93" s="13" t="str">
        <f t="shared" si="2"/>
        <v>915-00124.A - Tioga Pass_v1.1 (Гагар.ин)</v>
      </c>
      <c r="U93" s="8">
        <v>0.0</v>
      </c>
      <c r="V93" s="8">
        <v>0.0</v>
      </c>
      <c r="W93" s="17" t="str">
        <f t="shared" si="13"/>
        <v>Данные не заполены</v>
      </c>
      <c r="X93" s="14" t="str">
        <f t="shared" si="14"/>
        <v>Данные не заполены</v>
      </c>
      <c r="Y93" s="15">
        <f t="shared" si="15"/>
        <v>0</v>
      </c>
    </row>
    <row r="94" hidden="1">
      <c r="A94" s="7">
        <v>44119.81172385417</v>
      </c>
      <c r="B94" s="8" t="s">
        <v>89</v>
      </c>
      <c r="C94" s="8">
        <v>20693.0</v>
      </c>
      <c r="D94" s="8" t="s">
        <v>27</v>
      </c>
      <c r="E94" s="8" t="s">
        <v>28</v>
      </c>
      <c r="G94" s="8">
        <v>3253.0</v>
      </c>
      <c r="H94" s="8" t="s">
        <v>29</v>
      </c>
      <c r="I94" s="8" t="s">
        <v>95</v>
      </c>
      <c r="L94" s="8" t="s">
        <v>31</v>
      </c>
      <c r="M94" s="8" t="s">
        <v>34</v>
      </c>
      <c r="P94" s="9">
        <v>44119.0</v>
      </c>
      <c r="Q94" s="10">
        <v>0.07291666666666667</v>
      </c>
      <c r="R94" s="11" t="str">
        <f t="shared" si="1"/>
        <v>Выполнение дополнительных работ на линии</v>
      </c>
      <c r="S94" s="16" t="str">
        <f>iferror(VLOOKUP(C94,'ФИО'!A:B,2,0),"учётный код не найден")</f>
        <v>Аникина Раиса Владимировна</v>
      </c>
      <c r="T94" s="13" t="str">
        <f t="shared" si="2"/>
        <v>915-00095.A - ПКД-8В-1 АСЛБ.467249.108 (Квант)</v>
      </c>
      <c r="U94" s="8">
        <v>144.0</v>
      </c>
      <c r="V94" s="8">
        <v>0.0</v>
      </c>
      <c r="W94" s="17" t="str">
        <f t="shared" si="13"/>
        <v>Данные не заполены</v>
      </c>
      <c r="X94" s="14" t="str">
        <f t="shared" si="14"/>
        <v>Данные не заполены</v>
      </c>
      <c r="Y94" s="15">
        <f t="shared" si="15"/>
        <v>0</v>
      </c>
    </row>
    <row r="95" hidden="1">
      <c r="A95" s="7">
        <v>44119.81415712963</v>
      </c>
      <c r="B95" s="8" t="s">
        <v>89</v>
      </c>
      <c r="C95" s="8">
        <v>20693.0</v>
      </c>
      <c r="D95" s="8" t="s">
        <v>27</v>
      </c>
      <c r="E95" s="8" t="s">
        <v>28</v>
      </c>
      <c r="G95" s="8">
        <v>3252.0</v>
      </c>
      <c r="H95" s="8" t="s">
        <v>29</v>
      </c>
      <c r="I95" s="8" t="s">
        <v>96</v>
      </c>
      <c r="L95" s="8" t="s">
        <v>31</v>
      </c>
      <c r="M95" s="8" t="s">
        <v>34</v>
      </c>
      <c r="P95" s="9">
        <v>44119.0</v>
      </c>
      <c r="Q95" s="10">
        <v>0.020833333335758653</v>
      </c>
      <c r="R95" s="11" t="str">
        <f t="shared" si="1"/>
        <v>Выполнение дополнительных работ на линии</v>
      </c>
      <c r="S95" s="16" t="str">
        <f>iferror(VLOOKUP(C95,'ФИО'!A:B,2,0),"учётный код не найден")</f>
        <v>Аникина Раиса Владимировна</v>
      </c>
      <c r="T95" s="13" t="str">
        <f t="shared" si="2"/>
        <v>915-00096.A - ПКД-8В-2 АСЛБ.467249.109</v>
      </c>
      <c r="U95" s="8">
        <v>44.0</v>
      </c>
      <c r="V95" s="8">
        <v>0.0</v>
      </c>
      <c r="W95" s="17" t="str">
        <f t="shared" si="13"/>
        <v>Данные не заполены</v>
      </c>
      <c r="X95" s="14" t="str">
        <f t="shared" si="14"/>
        <v>Данные не заполены</v>
      </c>
      <c r="Y95" s="15">
        <f t="shared" si="15"/>
        <v>0</v>
      </c>
    </row>
    <row r="96" hidden="1">
      <c r="A96" s="7">
        <v>44106.3157305787</v>
      </c>
      <c r="B96" s="8" t="s">
        <v>76</v>
      </c>
      <c r="C96" s="8">
        <v>21954.0</v>
      </c>
      <c r="D96" s="8" t="s">
        <v>27</v>
      </c>
      <c r="E96" s="8" t="s">
        <v>97</v>
      </c>
      <c r="G96" s="8">
        <v>3579.0</v>
      </c>
      <c r="H96" s="8" t="s">
        <v>29</v>
      </c>
      <c r="I96" s="8" t="s">
        <v>42</v>
      </c>
      <c r="L96" s="8" t="s">
        <v>37</v>
      </c>
      <c r="P96" s="9">
        <v>44105.0</v>
      </c>
      <c r="Q96" s="10">
        <v>0.45833333333575865</v>
      </c>
      <c r="R96" s="13" t="str">
        <f t="shared" si="1"/>
        <v>Проверка плат на АОИ Prim</v>
      </c>
      <c r="S96" s="16" t="str">
        <f>iferror(VLOOKUP(C96,'ФИО'!A:B,2,0),"учётный код не найден")</f>
        <v>Александров Александр Викторович</v>
      </c>
      <c r="T96" s="13" t="str">
        <f t="shared" si="2"/>
        <v>915-00070.A - Модуль телематики ТМ1 v3 (Сознательные машины)</v>
      </c>
      <c r="U96" s="8">
        <v>1148.0</v>
      </c>
      <c r="V96" s="8">
        <v>391.0</v>
      </c>
      <c r="W96" s="21" t="str">
        <f t="shared" si="13"/>
        <v>Данные не заполены</v>
      </c>
      <c r="X96" s="15" t="str">
        <f t="shared" si="14"/>
        <v>Данные не заполены</v>
      </c>
      <c r="Y96" s="15">
        <f t="shared" si="15"/>
        <v>0.3405923345</v>
      </c>
      <c r="Z96" s="8" t="s">
        <v>83</v>
      </c>
    </row>
    <row r="97" hidden="1">
      <c r="A97" s="7">
        <v>44129.82773539352</v>
      </c>
      <c r="B97" s="8" t="s">
        <v>26</v>
      </c>
      <c r="C97" s="8">
        <v>21475.0</v>
      </c>
      <c r="D97" s="8" t="s">
        <v>27</v>
      </c>
      <c r="E97" s="8" t="s">
        <v>57</v>
      </c>
      <c r="G97" s="8">
        <v>3621.0</v>
      </c>
      <c r="H97" s="8" t="s">
        <v>29</v>
      </c>
      <c r="I97" s="8" t="s">
        <v>30</v>
      </c>
      <c r="L97" s="8" t="s">
        <v>31</v>
      </c>
      <c r="M97" s="8" t="s">
        <v>34</v>
      </c>
      <c r="P97" s="9">
        <v>44129.0</v>
      </c>
      <c r="Q97" s="10">
        <v>0.04166666666424135</v>
      </c>
      <c r="R97" s="11" t="str">
        <f t="shared" si="1"/>
        <v>Настройка линии Primary</v>
      </c>
      <c r="S97" s="12" t="str">
        <f>iferror(VLOOKUP(C97,'ФИО'!A:B,2,0),"учётный код не найден")</f>
        <v>Байрамашвили Альберт Зурабович</v>
      </c>
      <c r="T97" s="13" t="str">
        <f t="shared" si="2"/>
        <v>915-00121.A - Процессорный модуль РСЕН.469555.027 (КНС Групп) в ТС</v>
      </c>
      <c r="U97" s="8">
        <v>0.0</v>
      </c>
      <c r="V97" s="8">
        <v>0.0</v>
      </c>
      <c r="X97" s="14" t="str">
        <f t="shared" si="14"/>
        <v>Данные не заполены</v>
      </c>
      <c r="Y97" s="15">
        <f t="shared" si="15"/>
        <v>0</v>
      </c>
    </row>
    <row r="98" hidden="1">
      <c r="A98" s="7">
        <v>44113.81915271991</v>
      </c>
      <c r="B98" s="8" t="s">
        <v>26</v>
      </c>
      <c r="C98" s="8">
        <v>21522.0</v>
      </c>
      <c r="D98" s="8" t="s">
        <v>27</v>
      </c>
      <c r="E98" s="8" t="s">
        <v>57</v>
      </c>
      <c r="G98" s="8">
        <v>3750.0</v>
      </c>
      <c r="H98" s="8" t="s">
        <v>45</v>
      </c>
      <c r="K98" s="8" t="s">
        <v>46</v>
      </c>
      <c r="L98" s="8" t="s">
        <v>31</v>
      </c>
      <c r="M98" s="8" t="s">
        <v>34</v>
      </c>
      <c r="N98" s="8"/>
      <c r="O98" s="8"/>
      <c r="P98" s="9">
        <v>44113.0</v>
      </c>
      <c r="Q98" s="10">
        <v>0.04166666666424135</v>
      </c>
      <c r="R98" s="11" t="str">
        <f t="shared" si="1"/>
        <v>Настройка линии Primary</v>
      </c>
      <c r="S98" s="16" t="str">
        <f>iferror(VLOOKUP(C98,'ФИО'!A:B,2,0),"учётный код не найден")</f>
        <v>Исаев Никита Дмитриевич</v>
      </c>
      <c r="T98" s="13" t="str">
        <f t="shared" si="2"/>
        <v>ПУ 910-00349.A "Печатный узел основного блока E96 4LIN"</v>
      </c>
      <c r="U98" s="8">
        <v>0.0</v>
      </c>
      <c r="V98" s="8">
        <v>0.0</v>
      </c>
      <c r="W98" s="21" t="str">
        <f t="shared" ref="W98:W141" si="16">IFERROR((((38412/(ifs(O98&lt;35,35,O98&gt;34,O98)/N98)*0.7))),"Данные не заполены")</f>
        <v>Данные не заполены</v>
      </c>
      <c r="X98" s="15" t="str">
        <f t="shared" si="14"/>
        <v>Данные не заполены</v>
      </c>
      <c r="Y98" s="15">
        <f t="shared" si="15"/>
        <v>0</v>
      </c>
    </row>
    <row r="99" hidden="1">
      <c r="A99" s="7">
        <v>44106.816883067135</v>
      </c>
      <c r="B99" s="8" t="s">
        <v>87</v>
      </c>
      <c r="C99" s="8">
        <v>22131.0</v>
      </c>
      <c r="D99" s="8" t="s">
        <v>27</v>
      </c>
      <c r="E99" s="8" t="s">
        <v>48</v>
      </c>
      <c r="L99" s="8" t="s">
        <v>31</v>
      </c>
      <c r="M99" s="8" t="s">
        <v>34</v>
      </c>
      <c r="N99" s="8"/>
      <c r="O99" s="8"/>
      <c r="P99" s="9">
        <v>44106.0</v>
      </c>
      <c r="Q99" s="10">
        <v>0.020833333335758653</v>
      </c>
      <c r="R99" s="13" t="str">
        <f t="shared" si="1"/>
        <v>Выполнение организационных работ</v>
      </c>
      <c r="S99" s="16" t="str">
        <f>iferror(VLOOKUP(C99,'ФИО'!A:B,2,0),"учётный код не найден")</f>
        <v>Стосик Степан Владимирович</v>
      </c>
      <c r="T99" s="13" t="str">
        <f t="shared" si="2"/>
        <v/>
      </c>
      <c r="U99" s="8">
        <v>0.0</v>
      </c>
      <c r="V99" s="8">
        <v>0.0</v>
      </c>
      <c r="W99" s="21" t="str">
        <f t="shared" si="16"/>
        <v>Данные не заполены</v>
      </c>
      <c r="X99" s="15" t="str">
        <f t="shared" si="14"/>
        <v>Данные не заполены</v>
      </c>
      <c r="Y99" s="15">
        <f t="shared" si="15"/>
        <v>0</v>
      </c>
    </row>
    <row r="100" hidden="1">
      <c r="A100" s="7">
        <v>44107.32337804398</v>
      </c>
      <c r="B100" s="8" t="s">
        <v>76</v>
      </c>
      <c r="C100" s="8">
        <v>21852.0</v>
      </c>
      <c r="D100" s="8" t="s">
        <v>27</v>
      </c>
      <c r="E100" s="8" t="s">
        <v>48</v>
      </c>
      <c r="L100" s="8" t="s">
        <v>31</v>
      </c>
      <c r="M100" s="8" t="s">
        <v>34</v>
      </c>
      <c r="N100" s="8"/>
      <c r="O100" s="8"/>
      <c r="P100" s="9">
        <v>44106.0</v>
      </c>
      <c r="Q100" s="10">
        <v>0.027777777781011537</v>
      </c>
      <c r="R100" s="13" t="str">
        <f t="shared" si="1"/>
        <v>Выполнение организационных работ</v>
      </c>
      <c r="S100" s="16" t="str">
        <f>iferror(VLOOKUP(C100,'ФИО'!A:B,2,0),"учётный код не найден")</f>
        <v>Пономарев Юрий Андреевич</v>
      </c>
      <c r="T100" s="13" t="str">
        <f t="shared" si="2"/>
        <v/>
      </c>
      <c r="W100" s="21" t="str">
        <f t="shared" si="16"/>
        <v>Данные не заполены</v>
      </c>
      <c r="X100" s="15" t="str">
        <f t="shared" si="14"/>
        <v>Данные не заполены</v>
      </c>
      <c r="Y100" s="15">
        <f t="shared" si="15"/>
        <v>0</v>
      </c>
    </row>
    <row r="101" hidden="1">
      <c r="A101" s="7">
        <v>44110.312864155094</v>
      </c>
      <c r="B101" s="8" t="s">
        <v>94</v>
      </c>
      <c r="C101" s="8">
        <v>22131.0</v>
      </c>
      <c r="D101" s="8" t="s">
        <v>27</v>
      </c>
      <c r="E101" s="8" t="s">
        <v>48</v>
      </c>
      <c r="L101" s="8" t="s">
        <v>31</v>
      </c>
      <c r="M101" s="8" t="s">
        <v>34</v>
      </c>
      <c r="N101" s="8"/>
      <c r="O101" s="8"/>
      <c r="P101" s="9">
        <v>44109.0</v>
      </c>
      <c r="Q101" s="10">
        <v>0.0625</v>
      </c>
      <c r="R101" s="11" t="str">
        <f t="shared" si="1"/>
        <v>Выполнение организационных работ</v>
      </c>
      <c r="S101" s="16" t="str">
        <f>iferror(VLOOKUP(C101,'ФИО'!A:B,2,0),"учётный код не найден")</f>
        <v>Стосик Степан Владимирович</v>
      </c>
      <c r="T101" s="13" t="str">
        <f t="shared" si="2"/>
        <v/>
      </c>
      <c r="W101" s="21" t="str">
        <f t="shared" si="16"/>
        <v>Данные не заполены</v>
      </c>
      <c r="X101" s="15" t="str">
        <f t="shared" si="14"/>
        <v>Данные не заполены</v>
      </c>
      <c r="Y101" s="15">
        <f t="shared" si="15"/>
        <v>0</v>
      </c>
    </row>
    <row r="102" hidden="1">
      <c r="A102" s="7">
        <v>44110.828152766204</v>
      </c>
      <c r="B102" s="8" t="s">
        <v>89</v>
      </c>
      <c r="C102" s="8">
        <v>20693.0</v>
      </c>
      <c r="D102" s="8" t="s">
        <v>27</v>
      </c>
      <c r="E102" s="8" t="s">
        <v>48</v>
      </c>
      <c r="L102" s="8" t="s">
        <v>31</v>
      </c>
      <c r="M102" s="8" t="s">
        <v>34</v>
      </c>
      <c r="N102" s="8"/>
      <c r="O102" s="8"/>
      <c r="P102" s="9">
        <v>44110.0</v>
      </c>
      <c r="Q102" s="10">
        <v>0.034722222222222224</v>
      </c>
      <c r="R102" s="11" t="str">
        <f t="shared" si="1"/>
        <v>Выполнение организационных работ</v>
      </c>
      <c r="S102" s="16" t="str">
        <f>iferror(VLOOKUP(C102,'ФИО'!A:B,2,0),"учётный код не найден")</f>
        <v>Аникина Раиса Владимировна</v>
      </c>
      <c r="T102" s="13" t="str">
        <f t="shared" si="2"/>
        <v/>
      </c>
      <c r="W102" s="21" t="str">
        <f t="shared" si="16"/>
        <v>Данные не заполены</v>
      </c>
      <c r="X102" s="15" t="str">
        <f t="shared" si="14"/>
        <v>Данные не заполены</v>
      </c>
      <c r="Y102" s="15">
        <f t="shared" si="15"/>
        <v>0</v>
      </c>
    </row>
    <row r="103" hidden="1">
      <c r="A103" s="7">
        <v>44111.310558171295</v>
      </c>
      <c r="B103" s="8" t="s">
        <v>94</v>
      </c>
      <c r="C103" s="8">
        <v>22131.0</v>
      </c>
      <c r="D103" s="8" t="s">
        <v>27</v>
      </c>
      <c r="E103" s="8" t="s">
        <v>48</v>
      </c>
      <c r="L103" s="8" t="s">
        <v>31</v>
      </c>
      <c r="M103" s="8" t="s">
        <v>34</v>
      </c>
      <c r="N103" s="8"/>
      <c r="O103" s="8"/>
      <c r="P103" s="9">
        <v>44110.0</v>
      </c>
      <c r="Q103" s="10">
        <v>0.0625</v>
      </c>
      <c r="R103" s="11" t="str">
        <f t="shared" si="1"/>
        <v>Выполнение организационных работ</v>
      </c>
      <c r="S103" s="16" t="str">
        <f>iferror(VLOOKUP(C103,'ФИО'!A:B,2,0),"учётный код не найден")</f>
        <v>Стосик Степан Владимирович</v>
      </c>
      <c r="T103" s="13" t="str">
        <f t="shared" si="2"/>
        <v/>
      </c>
      <c r="W103" s="21" t="str">
        <f t="shared" si="16"/>
        <v>Данные не заполены</v>
      </c>
      <c r="X103" s="15" t="str">
        <f t="shared" si="14"/>
        <v>Данные не заполены</v>
      </c>
      <c r="Y103" s="15">
        <f t="shared" si="15"/>
        <v>0</v>
      </c>
    </row>
    <row r="104" hidden="1">
      <c r="A104" s="7">
        <v>44118.310273634255</v>
      </c>
      <c r="B104" s="8" t="s">
        <v>94</v>
      </c>
      <c r="C104" s="8">
        <v>22131.0</v>
      </c>
      <c r="D104" s="8" t="s">
        <v>27</v>
      </c>
      <c r="E104" s="8" t="s">
        <v>48</v>
      </c>
      <c r="L104" s="8" t="s">
        <v>31</v>
      </c>
      <c r="M104" s="8" t="s">
        <v>34</v>
      </c>
      <c r="P104" s="9">
        <v>44117.0</v>
      </c>
      <c r="Q104" s="10">
        <v>0.10416666666666667</v>
      </c>
      <c r="R104" s="11" t="str">
        <f t="shared" si="1"/>
        <v>Выполнение организационных работ</v>
      </c>
      <c r="S104" s="16" t="str">
        <f>iferror(VLOOKUP(C104,'ФИО'!A:B,2,0),"учётный код не найден")</f>
        <v>Стосик Степан Владимирович</v>
      </c>
      <c r="T104" s="13" t="str">
        <f t="shared" si="2"/>
        <v/>
      </c>
      <c r="W104" s="17" t="str">
        <f t="shared" si="16"/>
        <v>Данные не заполены</v>
      </c>
      <c r="X104" s="14" t="str">
        <f t="shared" si="14"/>
        <v>Данные не заполены</v>
      </c>
      <c r="Y104" s="15">
        <f t="shared" si="15"/>
        <v>0</v>
      </c>
    </row>
    <row r="105" hidden="1">
      <c r="A105" s="7">
        <v>44118.83062221065</v>
      </c>
      <c r="B105" s="8" t="s">
        <v>89</v>
      </c>
      <c r="C105" s="8">
        <v>20693.0</v>
      </c>
      <c r="D105" s="8" t="s">
        <v>27</v>
      </c>
      <c r="E105" s="8" t="s">
        <v>48</v>
      </c>
      <c r="L105" s="8" t="s">
        <v>31</v>
      </c>
      <c r="M105" s="8" t="s">
        <v>34</v>
      </c>
      <c r="P105" s="9">
        <v>44118.0</v>
      </c>
      <c r="Q105" s="10">
        <v>0.0625</v>
      </c>
      <c r="R105" s="11" t="str">
        <f t="shared" si="1"/>
        <v>Выполнение организационных работ</v>
      </c>
      <c r="S105" s="16" t="str">
        <f>iferror(VLOOKUP(C105,'ФИО'!A:B,2,0),"учётный код не найден")</f>
        <v>Аникина Раиса Владимировна</v>
      </c>
      <c r="T105" s="13" t="str">
        <f t="shared" si="2"/>
        <v/>
      </c>
      <c r="W105" s="17" t="str">
        <f t="shared" si="16"/>
        <v>Данные не заполены</v>
      </c>
      <c r="X105" s="14" t="str">
        <f t="shared" si="14"/>
        <v>Данные не заполены</v>
      </c>
      <c r="Y105" s="15">
        <f t="shared" si="15"/>
        <v>0</v>
      </c>
    </row>
    <row r="106" hidden="1">
      <c r="A106" s="7">
        <v>44118.835623425926</v>
      </c>
      <c r="B106" s="8" t="s">
        <v>89</v>
      </c>
      <c r="C106" s="8">
        <v>20693.0</v>
      </c>
      <c r="D106" s="8" t="s">
        <v>27</v>
      </c>
      <c r="E106" s="8" t="s">
        <v>48</v>
      </c>
      <c r="L106" s="8" t="s">
        <v>31</v>
      </c>
      <c r="M106" s="8" t="s">
        <v>98</v>
      </c>
      <c r="P106" s="9">
        <v>44118.0</v>
      </c>
      <c r="Q106" s="10">
        <v>0.10416666666424135</v>
      </c>
      <c r="R106" s="11" t="str">
        <f t="shared" si="1"/>
        <v>Выполнение организационных работ</v>
      </c>
      <c r="S106" s="16" t="str">
        <f>iferror(VLOOKUP(C106,'ФИО'!A:B,2,0),"учётный код не найден")</f>
        <v>Аникина Раиса Владимировна</v>
      </c>
      <c r="T106" s="13" t="str">
        <f t="shared" si="2"/>
        <v/>
      </c>
      <c r="W106" s="17" t="str">
        <f t="shared" si="16"/>
        <v>Данные не заполены</v>
      </c>
      <c r="X106" s="14" t="str">
        <f t="shared" si="14"/>
        <v>Данные не заполены</v>
      </c>
      <c r="Y106" s="15">
        <f t="shared" si="15"/>
        <v>0</v>
      </c>
    </row>
    <row r="107" hidden="1">
      <c r="A107" s="7">
        <v>44119.31173259259</v>
      </c>
      <c r="B107" s="8" t="s">
        <v>94</v>
      </c>
      <c r="C107" s="8">
        <v>22131.0</v>
      </c>
      <c r="D107" s="8" t="s">
        <v>27</v>
      </c>
      <c r="E107" s="8" t="s">
        <v>48</v>
      </c>
      <c r="L107" s="8" t="s">
        <v>31</v>
      </c>
      <c r="M107" s="8" t="s">
        <v>34</v>
      </c>
      <c r="P107" s="9">
        <v>44118.0</v>
      </c>
      <c r="Q107" s="10">
        <v>0.10416666666424135</v>
      </c>
      <c r="R107" s="11" t="str">
        <f t="shared" si="1"/>
        <v>Выполнение организационных работ</v>
      </c>
      <c r="S107" s="16" t="str">
        <f>iferror(VLOOKUP(C107,'ФИО'!A:B,2,0),"учётный код не найден")</f>
        <v>Стосик Степан Владимирович</v>
      </c>
      <c r="T107" s="13" t="str">
        <f t="shared" si="2"/>
        <v/>
      </c>
      <c r="W107" s="17" t="str">
        <f t="shared" si="16"/>
        <v>Данные не заполены</v>
      </c>
      <c r="X107" s="14" t="str">
        <f t="shared" si="14"/>
        <v>Данные не заполены</v>
      </c>
      <c r="Y107" s="15">
        <f t="shared" si="15"/>
        <v>0</v>
      </c>
    </row>
    <row r="108" hidden="1">
      <c r="A108" s="7">
        <v>44119.82843828703</v>
      </c>
      <c r="B108" s="8" t="s">
        <v>89</v>
      </c>
      <c r="C108" s="8">
        <v>21852.0</v>
      </c>
      <c r="D108" s="8" t="s">
        <v>27</v>
      </c>
      <c r="E108" s="8" t="s">
        <v>48</v>
      </c>
      <c r="L108" s="8" t="s">
        <v>31</v>
      </c>
      <c r="M108" s="8" t="s">
        <v>99</v>
      </c>
      <c r="P108" s="9">
        <v>44119.0</v>
      </c>
      <c r="Q108" s="10">
        <v>0.09722222221898846</v>
      </c>
      <c r="R108" s="11" t="str">
        <f t="shared" si="1"/>
        <v>Выполнение организационных работ</v>
      </c>
      <c r="S108" s="16" t="str">
        <f>iferror(VLOOKUP(C108,'ФИО'!A:B,2,0),"учётный код не найден")</f>
        <v>Пономарев Юрий Андреевич</v>
      </c>
      <c r="T108" s="13" t="str">
        <f t="shared" si="2"/>
        <v/>
      </c>
      <c r="U108" s="8">
        <v>0.0</v>
      </c>
      <c r="V108" s="8">
        <v>0.0</v>
      </c>
      <c r="W108" s="17" t="str">
        <f t="shared" si="16"/>
        <v>Данные не заполены</v>
      </c>
      <c r="X108" s="14" t="str">
        <f t="shared" si="14"/>
        <v>Данные не заполены</v>
      </c>
      <c r="Y108" s="15">
        <f t="shared" si="15"/>
        <v>0</v>
      </c>
    </row>
    <row r="109" hidden="1">
      <c r="A109" s="7">
        <v>44107.31025355324</v>
      </c>
      <c r="B109" s="8" t="s">
        <v>76</v>
      </c>
      <c r="C109" s="8">
        <v>20693.0</v>
      </c>
      <c r="D109" s="8" t="s">
        <v>27</v>
      </c>
      <c r="E109" s="8" t="s">
        <v>88</v>
      </c>
      <c r="G109" s="8">
        <v>3579.0</v>
      </c>
      <c r="H109" s="8" t="s">
        <v>29</v>
      </c>
      <c r="I109" s="8" t="s">
        <v>42</v>
      </c>
      <c r="L109" s="8" t="s">
        <v>37</v>
      </c>
      <c r="M109" s="8" t="s">
        <v>34</v>
      </c>
      <c r="N109" s="8"/>
      <c r="O109" s="8"/>
      <c r="P109" s="9">
        <v>44106.0</v>
      </c>
      <c r="Q109" s="24">
        <v>0.2013888888888889</v>
      </c>
      <c r="R109" s="13" t="str">
        <f t="shared" si="1"/>
        <v>Сборка на линии Sec</v>
      </c>
      <c r="S109" s="22" t="s">
        <v>27</v>
      </c>
      <c r="T109" s="13" t="str">
        <f t="shared" si="2"/>
        <v>915-00070.A - Модуль телематики ТМ1 v3 (Сознательные машины)</v>
      </c>
      <c r="U109" s="8">
        <v>1308.0</v>
      </c>
      <c r="V109" s="8">
        <v>0.0</v>
      </c>
      <c r="W109" s="21" t="str">
        <f t="shared" si="16"/>
        <v>Данные не заполены</v>
      </c>
      <c r="X109" s="15" t="str">
        <f t="shared" si="14"/>
        <v>Данные не заполены</v>
      </c>
      <c r="Y109" s="15">
        <f t="shared" si="15"/>
        <v>0</v>
      </c>
    </row>
    <row r="110" hidden="1">
      <c r="A110" s="7">
        <v>44107.32497789351</v>
      </c>
      <c r="B110" s="8" t="s">
        <v>76</v>
      </c>
      <c r="C110" s="8">
        <v>60000.0</v>
      </c>
      <c r="D110" s="8" t="s">
        <v>69</v>
      </c>
      <c r="F110" s="8" t="s">
        <v>80</v>
      </c>
      <c r="G110" s="8">
        <v>3047.0</v>
      </c>
      <c r="H110" s="8" t="s">
        <v>29</v>
      </c>
      <c r="I110" s="8" t="s">
        <v>77</v>
      </c>
      <c r="L110" s="8" t="s">
        <v>31</v>
      </c>
      <c r="M110" s="8" t="s">
        <v>34</v>
      </c>
      <c r="N110" s="8"/>
      <c r="O110" s="8"/>
      <c r="P110" s="9">
        <v>44106.0</v>
      </c>
      <c r="Q110" s="10">
        <v>0.09375</v>
      </c>
      <c r="R110" s="13" t="str">
        <f t="shared" si="1"/>
        <v>Пайка компонентов SEC</v>
      </c>
      <c r="S110" s="12" t="str">
        <f>iferror(VLOOKUP(C110,'ФИО'!A:B,2,0),"учётный код не найден")</f>
        <v>THT</v>
      </c>
      <c r="T110" s="13" t="str">
        <f t="shared" si="2"/>
        <v>915-00081.A-Модуль Трик8 (Кибертех)</v>
      </c>
      <c r="U110" s="8">
        <v>60.0</v>
      </c>
      <c r="V110" s="8">
        <v>0.0</v>
      </c>
      <c r="W110" s="21" t="str">
        <f t="shared" si="16"/>
        <v>Данные не заполены</v>
      </c>
      <c r="X110" s="15" t="str">
        <f t="shared" si="14"/>
        <v>Данные не заполены</v>
      </c>
      <c r="Y110" s="15">
        <f t="shared" si="15"/>
        <v>0</v>
      </c>
    </row>
    <row r="111" hidden="1">
      <c r="A111" s="7">
        <v>44107.83384924769</v>
      </c>
      <c r="B111" s="8" t="s">
        <v>87</v>
      </c>
      <c r="C111" s="8">
        <v>60000.0</v>
      </c>
      <c r="D111" s="8" t="s">
        <v>69</v>
      </c>
      <c r="F111" s="8" t="s">
        <v>72</v>
      </c>
      <c r="G111" s="8">
        <v>3047.0</v>
      </c>
      <c r="H111" s="8" t="s">
        <v>29</v>
      </c>
      <c r="I111" s="8" t="s">
        <v>77</v>
      </c>
      <c r="L111" s="8" t="s">
        <v>37</v>
      </c>
      <c r="P111" s="9">
        <v>44107.0</v>
      </c>
      <c r="Q111" s="10">
        <v>0.14583333333575865</v>
      </c>
      <c r="R111" s="11" t="str">
        <f t="shared" si="1"/>
        <v>Пайка компонентов PRI</v>
      </c>
      <c r="S111" s="12" t="str">
        <f>iferror(VLOOKUP(C111,'ФИО'!A:B,2,0),"учётный код не найден")</f>
        <v>THT</v>
      </c>
      <c r="T111" s="13" t="str">
        <f t="shared" si="2"/>
        <v>915-00081.A-Модуль Трик8 (Кибертех)</v>
      </c>
      <c r="U111" s="8">
        <v>90.0</v>
      </c>
      <c r="V111" s="8">
        <v>0.0</v>
      </c>
      <c r="W111" s="21" t="str">
        <f t="shared" si="16"/>
        <v>Данные не заполены</v>
      </c>
      <c r="X111" s="15" t="str">
        <f t="shared" si="14"/>
        <v>Данные не заполены</v>
      </c>
      <c r="Y111" s="15">
        <f t="shared" si="15"/>
        <v>0</v>
      </c>
    </row>
    <row r="112" hidden="1">
      <c r="A112" s="7">
        <v>44107.80489337963</v>
      </c>
      <c r="B112" s="8" t="s">
        <v>87</v>
      </c>
      <c r="C112" s="8">
        <v>22131.0</v>
      </c>
      <c r="D112" s="8" t="s">
        <v>27</v>
      </c>
      <c r="E112" s="8" t="s">
        <v>88</v>
      </c>
      <c r="G112" s="8">
        <v>3579.0</v>
      </c>
      <c r="H112" s="8" t="s">
        <v>29</v>
      </c>
      <c r="I112" s="8" t="s">
        <v>42</v>
      </c>
      <c r="L112" s="8" t="s">
        <v>37</v>
      </c>
      <c r="P112" s="9">
        <v>44107.0</v>
      </c>
      <c r="Q112" s="10">
        <v>0.059027777777777776</v>
      </c>
      <c r="R112" s="11" t="str">
        <f t="shared" si="1"/>
        <v>Сборка на линии Sec</v>
      </c>
      <c r="S112" s="22" t="s">
        <v>27</v>
      </c>
      <c r="T112" s="13" t="str">
        <f t="shared" si="2"/>
        <v>915-00070.A - Модуль телематики ТМ1 v3 (Сознательные машины)</v>
      </c>
      <c r="U112" s="8">
        <v>180.0</v>
      </c>
      <c r="V112" s="8">
        <v>0.0</v>
      </c>
      <c r="W112" s="21" t="str">
        <f t="shared" si="16"/>
        <v>Данные не заполены</v>
      </c>
      <c r="X112" s="15" t="str">
        <f t="shared" si="14"/>
        <v>Данные не заполены</v>
      </c>
      <c r="Y112" s="15">
        <f t="shared" si="15"/>
        <v>0</v>
      </c>
      <c r="Z112" s="11"/>
    </row>
    <row r="113" hidden="1">
      <c r="A113" s="7">
        <v>44107.807614895835</v>
      </c>
      <c r="B113" s="8" t="s">
        <v>87</v>
      </c>
      <c r="C113" s="8">
        <v>22131.0</v>
      </c>
      <c r="D113" s="8" t="s">
        <v>27</v>
      </c>
      <c r="E113" s="8" t="s">
        <v>67</v>
      </c>
      <c r="G113" s="8">
        <v>3706.0</v>
      </c>
      <c r="H113" s="8" t="s">
        <v>45</v>
      </c>
      <c r="K113" s="8" t="s">
        <v>91</v>
      </c>
      <c r="L113" s="8" t="s">
        <v>37</v>
      </c>
      <c r="P113" s="9">
        <v>44107.0</v>
      </c>
      <c r="Q113" s="10">
        <v>0.03125</v>
      </c>
      <c r="R113" s="11" t="str">
        <f t="shared" si="1"/>
        <v>Сборка на линии Prim</v>
      </c>
      <c r="S113" s="22" t="s">
        <v>27</v>
      </c>
      <c r="T113" s="13" t="str">
        <f t="shared" si="2"/>
        <v>ПУ Сигма 10/15 910-00080.D</v>
      </c>
      <c r="U113" s="8">
        <v>32.0</v>
      </c>
      <c r="V113" s="8">
        <v>0.0</v>
      </c>
      <c r="W113" s="21" t="str">
        <f t="shared" si="16"/>
        <v>Данные не заполены</v>
      </c>
      <c r="X113" s="15" t="str">
        <f t="shared" si="14"/>
        <v>Данные не заполены</v>
      </c>
      <c r="Y113" s="15">
        <f t="shared" si="15"/>
        <v>0</v>
      </c>
      <c r="Z113" s="11"/>
    </row>
    <row r="114" hidden="1">
      <c r="A114" s="7">
        <v>44107.794943298606</v>
      </c>
      <c r="B114" s="8" t="s">
        <v>87</v>
      </c>
      <c r="C114" s="8">
        <v>22131.0</v>
      </c>
      <c r="D114" s="8" t="s">
        <v>69</v>
      </c>
      <c r="F114" s="8" t="s">
        <v>72</v>
      </c>
      <c r="G114" s="8">
        <v>3047.0</v>
      </c>
      <c r="H114" s="8" t="s">
        <v>29</v>
      </c>
      <c r="I114" s="8" t="s">
        <v>77</v>
      </c>
      <c r="L114" s="8" t="s">
        <v>37</v>
      </c>
      <c r="P114" s="9">
        <v>44107.0</v>
      </c>
      <c r="Q114" s="10">
        <v>0.04166666666424135</v>
      </c>
      <c r="R114" s="11" t="str">
        <f t="shared" si="1"/>
        <v>Пайка компонентов PRI</v>
      </c>
      <c r="S114" s="16" t="str">
        <f>iferror(VLOOKUP(C114,'ФИО'!A:B,2,0),"учётный код не найден")</f>
        <v>Стосик Степан Владимирович</v>
      </c>
      <c r="T114" s="13" t="str">
        <f t="shared" si="2"/>
        <v>915-00081.A-Модуль Трик8 (Кибертех)</v>
      </c>
      <c r="U114" s="8">
        <v>0.0</v>
      </c>
      <c r="V114" s="8">
        <v>0.0</v>
      </c>
      <c r="W114" s="21" t="str">
        <f t="shared" si="16"/>
        <v>Данные не заполены</v>
      </c>
      <c r="X114" s="15" t="str">
        <f t="shared" si="14"/>
        <v>Данные не заполены</v>
      </c>
      <c r="Y114" s="15">
        <f t="shared" si="15"/>
        <v>0</v>
      </c>
      <c r="Z114" s="11"/>
    </row>
    <row r="115" hidden="1">
      <c r="A115" s="7">
        <v>44107.79597574074</v>
      </c>
      <c r="B115" s="8" t="s">
        <v>87</v>
      </c>
      <c r="C115" s="8">
        <v>22131.0</v>
      </c>
      <c r="D115" s="8" t="s">
        <v>27</v>
      </c>
      <c r="E115" s="8" t="s">
        <v>82</v>
      </c>
      <c r="G115" s="8">
        <v>3579.0</v>
      </c>
      <c r="H115" s="8" t="s">
        <v>29</v>
      </c>
      <c r="I115" s="8" t="s">
        <v>42</v>
      </c>
      <c r="L115" s="8" t="s">
        <v>31</v>
      </c>
      <c r="M115" s="8" t="s">
        <v>34</v>
      </c>
      <c r="N115" s="8"/>
      <c r="O115" s="8"/>
      <c r="P115" s="9">
        <v>44107.0</v>
      </c>
      <c r="Q115" s="10">
        <v>0.020833333335758653</v>
      </c>
      <c r="R115" s="11" t="str">
        <f t="shared" si="1"/>
        <v>Настройка установщиков</v>
      </c>
      <c r="S115" s="16" t="str">
        <f>iferror(VLOOKUP(C115,'ФИО'!A:B,2,0),"учётный код не найден")</f>
        <v>Стосик Степан Владимирович</v>
      </c>
      <c r="T115" s="13" t="str">
        <f t="shared" si="2"/>
        <v>915-00070.A - Модуль телематики ТМ1 v3 (Сознательные машины)</v>
      </c>
      <c r="U115" s="8">
        <v>1.0</v>
      </c>
      <c r="V115" s="8">
        <v>0.0</v>
      </c>
      <c r="W115" s="21" t="str">
        <f t="shared" si="16"/>
        <v>Данные не заполены</v>
      </c>
      <c r="X115" s="15" t="str">
        <f t="shared" si="14"/>
        <v>Данные не заполены</v>
      </c>
      <c r="Y115" s="15">
        <f t="shared" si="15"/>
        <v>0</v>
      </c>
      <c r="Z115" s="11"/>
    </row>
    <row r="116" hidden="1">
      <c r="A116" s="7">
        <v>44107.79653623843</v>
      </c>
      <c r="B116" s="8" t="s">
        <v>87</v>
      </c>
      <c r="C116" s="8">
        <v>22131.0</v>
      </c>
      <c r="D116" s="8" t="s">
        <v>27</v>
      </c>
      <c r="E116" s="8" t="s">
        <v>100</v>
      </c>
      <c r="G116" s="8">
        <v>3579.0</v>
      </c>
      <c r="H116" s="8" t="s">
        <v>29</v>
      </c>
      <c r="I116" s="8" t="s">
        <v>42</v>
      </c>
      <c r="L116" s="8" t="s">
        <v>37</v>
      </c>
      <c r="P116" s="9">
        <v>44107.0</v>
      </c>
      <c r="Q116" s="10">
        <v>0.1875</v>
      </c>
      <c r="R116" s="11" t="str">
        <f t="shared" si="1"/>
        <v>Проверка плат на АОИ Sec</v>
      </c>
      <c r="S116" s="16" t="str">
        <f>iferror(VLOOKUP(C116,'ФИО'!A:B,2,0),"учётный код не найден")</f>
        <v>Стосик Степан Владимирович</v>
      </c>
      <c r="T116" s="13" t="str">
        <f t="shared" si="2"/>
        <v>915-00070.A - Модуль телематики ТМ1 v3 (Сознательные машины)</v>
      </c>
      <c r="U116" s="8">
        <v>153.0</v>
      </c>
      <c r="V116" s="8">
        <v>30.0</v>
      </c>
      <c r="W116" s="21" t="str">
        <f t="shared" si="16"/>
        <v>Данные не заполены</v>
      </c>
      <c r="X116" s="15" t="str">
        <f t="shared" si="14"/>
        <v>Данные не заполены</v>
      </c>
      <c r="Y116" s="15">
        <f t="shared" si="15"/>
        <v>0.1960784314</v>
      </c>
      <c r="Z116" s="11"/>
    </row>
    <row r="117" hidden="1">
      <c r="A117" s="7">
        <v>44107.79696883102</v>
      </c>
      <c r="B117" s="8" t="s">
        <v>87</v>
      </c>
      <c r="C117" s="8">
        <v>22131.0</v>
      </c>
      <c r="D117" s="8" t="s">
        <v>27</v>
      </c>
      <c r="E117" s="8" t="s">
        <v>85</v>
      </c>
      <c r="G117" s="8">
        <v>3579.0</v>
      </c>
      <c r="H117" s="8" t="s">
        <v>29</v>
      </c>
      <c r="I117" s="8" t="s">
        <v>42</v>
      </c>
      <c r="L117" s="8" t="s">
        <v>31</v>
      </c>
      <c r="M117" s="8" t="s">
        <v>34</v>
      </c>
      <c r="N117" s="8"/>
      <c r="O117" s="8"/>
      <c r="P117" s="9">
        <v>44107.0</v>
      </c>
      <c r="Q117" s="10">
        <v>0.013888888890505768</v>
      </c>
      <c r="R117" s="11" t="str">
        <f t="shared" si="1"/>
        <v>Очистка трафаретного принтера</v>
      </c>
      <c r="S117" s="16" t="str">
        <f>iferror(VLOOKUP(C117,'ФИО'!A:B,2,0),"учётный код не найден")</f>
        <v>Стосик Степан Владимирович</v>
      </c>
      <c r="T117" s="13" t="str">
        <f t="shared" si="2"/>
        <v>915-00070.A - Модуль телематики ТМ1 v3 (Сознательные машины)</v>
      </c>
      <c r="U117" s="8">
        <v>0.0</v>
      </c>
      <c r="V117" s="8">
        <v>0.0</v>
      </c>
      <c r="W117" s="21" t="str">
        <f t="shared" si="16"/>
        <v>Данные не заполены</v>
      </c>
      <c r="X117" s="15" t="str">
        <f t="shared" si="14"/>
        <v>Данные не заполены</v>
      </c>
      <c r="Y117" s="15">
        <f t="shared" si="15"/>
        <v>0</v>
      </c>
      <c r="Z117" s="11"/>
    </row>
    <row r="118" hidden="1">
      <c r="A118" s="7">
        <v>44107.79762640047</v>
      </c>
      <c r="B118" s="8" t="s">
        <v>94</v>
      </c>
      <c r="C118" s="8">
        <v>22131.0</v>
      </c>
      <c r="D118" s="8" t="s">
        <v>27</v>
      </c>
      <c r="E118" s="8" t="s">
        <v>101</v>
      </c>
      <c r="G118" s="8">
        <v>3706.0</v>
      </c>
      <c r="H118" s="8" t="s">
        <v>45</v>
      </c>
      <c r="K118" s="8" t="s">
        <v>91</v>
      </c>
      <c r="L118" s="8" t="s">
        <v>31</v>
      </c>
      <c r="M118" s="8" t="s">
        <v>34</v>
      </c>
      <c r="N118" s="8"/>
      <c r="O118" s="8"/>
      <c r="P118" s="9">
        <v>44107.0</v>
      </c>
      <c r="Q118" s="10">
        <v>0.027777777781011537</v>
      </c>
      <c r="R118" s="11" t="str">
        <f t="shared" si="1"/>
        <v>Настройка принтера Prim</v>
      </c>
      <c r="S118" s="16" t="str">
        <f>iferror(VLOOKUP(C118,'ФИО'!A:B,2,0),"учётный код не найден")</f>
        <v>Стосик Степан Владимирович</v>
      </c>
      <c r="T118" s="13" t="str">
        <f t="shared" si="2"/>
        <v>ПУ Сигма 10/15 910-00080.D</v>
      </c>
      <c r="U118" s="8">
        <v>1.0</v>
      </c>
      <c r="V118" s="8">
        <v>0.0</v>
      </c>
      <c r="W118" s="21" t="str">
        <f t="shared" si="16"/>
        <v>Данные не заполены</v>
      </c>
      <c r="X118" s="15" t="str">
        <f t="shared" si="14"/>
        <v>Данные не заполены</v>
      </c>
      <c r="Y118" s="15">
        <f t="shared" si="15"/>
        <v>0</v>
      </c>
      <c r="Z118" s="18" t="s">
        <v>102</v>
      </c>
    </row>
    <row r="119" hidden="1">
      <c r="A119" s="7">
        <v>44107.798190416666</v>
      </c>
      <c r="B119" s="8" t="s">
        <v>87</v>
      </c>
      <c r="C119" s="8">
        <v>22131.0</v>
      </c>
      <c r="D119" s="8" t="s">
        <v>27</v>
      </c>
      <c r="E119" s="8" t="s">
        <v>67</v>
      </c>
      <c r="G119" s="8">
        <v>3706.0</v>
      </c>
      <c r="H119" s="8" t="s">
        <v>45</v>
      </c>
      <c r="K119" s="8" t="s">
        <v>91</v>
      </c>
      <c r="L119" s="8" t="s">
        <v>37</v>
      </c>
      <c r="P119" s="9">
        <v>44107.0</v>
      </c>
      <c r="Q119" s="10">
        <v>0.020833333335758653</v>
      </c>
      <c r="R119" s="11" t="str">
        <f t="shared" si="1"/>
        <v>Сборка на линии Prim</v>
      </c>
      <c r="S119" s="16" t="str">
        <f>iferror(VLOOKUP(C119,'ФИО'!A:B,2,0),"учётный код не найден")</f>
        <v>Стосик Степан Владимирович</v>
      </c>
      <c r="T119" s="13" t="str">
        <f t="shared" si="2"/>
        <v>ПУ Сигма 10/15 910-00080.D</v>
      </c>
      <c r="U119" s="8">
        <v>0.0</v>
      </c>
      <c r="V119" s="8">
        <v>0.0</v>
      </c>
      <c r="W119" s="21" t="str">
        <f t="shared" si="16"/>
        <v>Данные не заполены</v>
      </c>
      <c r="X119" s="15" t="str">
        <f t="shared" si="14"/>
        <v>Данные не заполены</v>
      </c>
      <c r="Y119" s="15">
        <f t="shared" si="15"/>
        <v>0</v>
      </c>
      <c r="Z119" s="11"/>
    </row>
    <row r="120" hidden="1">
      <c r="A120" s="7">
        <v>44107.79865996528</v>
      </c>
      <c r="B120" s="8" t="s">
        <v>87</v>
      </c>
      <c r="C120" s="8">
        <v>22131.0</v>
      </c>
      <c r="D120" s="8" t="s">
        <v>27</v>
      </c>
      <c r="E120" s="8" t="s">
        <v>57</v>
      </c>
      <c r="G120" s="8">
        <v>3706.0</v>
      </c>
      <c r="H120" s="8" t="s">
        <v>45</v>
      </c>
      <c r="K120" s="8" t="s">
        <v>91</v>
      </c>
      <c r="L120" s="8" t="s">
        <v>31</v>
      </c>
      <c r="M120" s="8" t="s">
        <v>34</v>
      </c>
      <c r="N120" s="8"/>
      <c r="O120" s="8"/>
      <c r="P120" s="9">
        <v>44107.0</v>
      </c>
      <c r="Q120" s="10">
        <v>0.020833333335758653</v>
      </c>
      <c r="R120" s="11" t="str">
        <f t="shared" si="1"/>
        <v>Настройка линии Primary</v>
      </c>
      <c r="S120" s="16" t="str">
        <f>iferror(VLOOKUP(C120,'ФИО'!A:B,2,0),"учётный код не найден")</f>
        <v>Стосик Степан Владимирович</v>
      </c>
      <c r="T120" s="13" t="str">
        <f t="shared" si="2"/>
        <v>ПУ Сигма 10/15 910-00080.D</v>
      </c>
      <c r="U120" s="8">
        <v>0.0</v>
      </c>
      <c r="V120" s="8">
        <v>0.0</v>
      </c>
      <c r="W120" s="21" t="str">
        <f t="shared" si="16"/>
        <v>Данные не заполены</v>
      </c>
      <c r="X120" s="15" t="str">
        <f t="shared" si="14"/>
        <v>Данные не заполены</v>
      </c>
      <c r="Y120" s="15">
        <f t="shared" si="15"/>
        <v>0</v>
      </c>
      <c r="Z120" s="11"/>
    </row>
    <row r="121" hidden="1">
      <c r="A121" s="7">
        <v>44107.80175513889</v>
      </c>
      <c r="B121" s="8" t="s">
        <v>87</v>
      </c>
      <c r="C121" s="8">
        <v>22131.0</v>
      </c>
      <c r="D121" s="8" t="s">
        <v>27</v>
      </c>
      <c r="E121" s="8" t="s">
        <v>66</v>
      </c>
      <c r="G121" s="8">
        <v>3706.0</v>
      </c>
      <c r="H121" s="8" t="s">
        <v>45</v>
      </c>
      <c r="K121" s="8" t="s">
        <v>91</v>
      </c>
      <c r="L121" s="8" t="s">
        <v>31</v>
      </c>
      <c r="M121" s="8" t="s">
        <v>34</v>
      </c>
      <c r="N121" s="8"/>
      <c r="O121" s="8"/>
      <c r="P121" s="9">
        <v>44107.0</v>
      </c>
      <c r="Q121" s="10">
        <v>0.04166666666424135</v>
      </c>
      <c r="R121" s="11" t="str">
        <f t="shared" si="1"/>
        <v>Проверка первой платы до оплавления</v>
      </c>
      <c r="S121" s="16" t="str">
        <f>iferror(VLOOKUP(C121,'ФИО'!A:B,2,0),"учётный код не найден")</f>
        <v>Стосик Степан Владимирович</v>
      </c>
      <c r="T121" s="13" t="str">
        <f t="shared" si="2"/>
        <v>ПУ Сигма 10/15 910-00080.D</v>
      </c>
      <c r="U121" s="8">
        <v>1.0</v>
      </c>
      <c r="V121" s="8">
        <v>0.0</v>
      </c>
      <c r="W121" s="21" t="str">
        <f t="shared" si="16"/>
        <v>Данные не заполены</v>
      </c>
      <c r="X121" s="15" t="str">
        <f t="shared" si="14"/>
        <v>Данные не заполены</v>
      </c>
      <c r="Y121" s="15">
        <f t="shared" si="15"/>
        <v>0</v>
      </c>
      <c r="Z121" s="11"/>
    </row>
    <row r="122" hidden="1">
      <c r="A122" s="7">
        <v>44107.80582490741</v>
      </c>
      <c r="B122" s="8" t="s">
        <v>87</v>
      </c>
      <c r="C122" s="8">
        <v>22131.0</v>
      </c>
      <c r="D122" s="8" t="s">
        <v>27</v>
      </c>
      <c r="E122" s="8" t="s">
        <v>48</v>
      </c>
      <c r="L122" s="8" t="s">
        <v>31</v>
      </c>
      <c r="M122" s="8" t="s">
        <v>34</v>
      </c>
      <c r="N122" s="8"/>
      <c r="O122" s="8"/>
      <c r="P122" s="9">
        <v>44107.0</v>
      </c>
      <c r="Q122" s="10">
        <v>0.0625</v>
      </c>
      <c r="R122" s="11" t="str">
        <f t="shared" si="1"/>
        <v>Выполнение организационных работ</v>
      </c>
      <c r="S122" s="16" t="str">
        <f>iferror(VLOOKUP(C122,'ФИО'!A:B,2,0),"учётный код не найден")</f>
        <v>Стосик Степан Владимирович</v>
      </c>
      <c r="T122" s="13" t="str">
        <f t="shared" si="2"/>
        <v/>
      </c>
      <c r="W122" s="21" t="str">
        <f t="shared" si="16"/>
        <v>Данные не заполены</v>
      </c>
      <c r="X122" s="15" t="str">
        <f t="shared" si="14"/>
        <v>Данные не заполены</v>
      </c>
      <c r="Y122" s="15">
        <f t="shared" si="15"/>
        <v>0</v>
      </c>
      <c r="Z122" s="11"/>
    </row>
    <row r="123" hidden="1">
      <c r="A123" s="7">
        <v>44107.80620939815</v>
      </c>
      <c r="B123" s="8" t="s">
        <v>87</v>
      </c>
      <c r="C123" s="8">
        <v>22131.0</v>
      </c>
      <c r="D123" s="8" t="s">
        <v>27</v>
      </c>
      <c r="E123" s="8" t="s">
        <v>50</v>
      </c>
      <c r="L123" s="8" t="s">
        <v>31</v>
      </c>
      <c r="M123" s="8" t="s">
        <v>34</v>
      </c>
      <c r="N123" s="8"/>
      <c r="O123" s="8"/>
      <c r="P123" s="9">
        <v>44107.0</v>
      </c>
      <c r="Q123" s="10">
        <v>0.020833333335758653</v>
      </c>
      <c r="R123" s="11" t="str">
        <f t="shared" si="1"/>
        <v>Заполнение отчёта</v>
      </c>
      <c r="S123" s="16" t="str">
        <f>iferror(VLOOKUP(C123,'ФИО'!A:B,2,0),"учётный код не найден")</f>
        <v>Стосик Степан Владимирович</v>
      </c>
      <c r="T123" s="13" t="str">
        <f t="shared" si="2"/>
        <v/>
      </c>
      <c r="W123" s="21" t="str">
        <f t="shared" si="16"/>
        <v>Данные не заполены</v>
      </c>
      <c r="X123" s="15" t="str">
        <f t="shared" si="14"/>
        <v>Данные не заполены</v>
      </c>
      <c r="Y123" s="15">
        <f t="shared" si="15"/>
        <v>0</v>
      </c>
      <c r="Z123" s="11"/>
    </row>
    <row r="124" hidden="1">
      <c r="A124" s="7">
        <v>44107.83060512731</v>
      </c>
      <c r="B124" s="8" t="s">
        <v>87</v>
      </c>
      <c r="C124" s="8">
        <v>21426.0</v>
      </c>
      <c r="D124" s="8" t="s">
        <v>69</v>
      </c>
      <c r="F124" s="8" t="s">
        <v>103</v>
      </c>
      <c r="G124" s="8">
        <v>3047.0</v>
      </c>
      <c r="H124" s="8" t="s">
        <v>29</v>
      </c>
      <c r="I124" s="8" t="s">
        <v>77</v>
      </c>
      <c r="L124" s="8" t="s">
        <v>37</v>
      </c>
      <c r="P124" s="9">
        <v>44107.0</v>
      </c>
      <c r="Q124" s="10">
        <v>0.22916666666424135</v>
      </c>
      <c r="R124" s="11" t="str">
        <f t="shared" si="1"/>
        <v>Проверка на АОИ PRI</v>
      </c>
      <c r="S124" s="16" t="str">
        <f>iferror(VLOOKUP(C124,'ФИО'!A:B,2,0),"учётный код не найден")</f>
        <v>Скибинский Антон Германович</v>
      </c>
      <c r="T124" s="13" t="str">
        <f t="shared" si="2"/>
        <v>915-00081.A-Модуль Трик8 (Кибертех)</v>
      </c>
      <c r="U124" s="8">
        <v>84.0</v>
      </c>
      <c r="V124" s="8">
        <v>6.0</v>
      </c>
      <c r="W124" s="21" t="str">
        <f t="shared" si="16"/>
        <v>Данные не заполены</v>
      </c>
      <c r="X124" s="15" t="str">
        <f t="shared" si="14"/>
        <v>Данные не заполены</v>
      </c>
      <c r="Y124" s="15">
        <f t="shared" si="15"/>
        <v>0.07142857143</v>
      </c>
      <c r="Z124" s="11"/>
    </row>
    <row r="125" hidden="1">
      <c r="A125" s="7">
        <v>44107.829949293984</v>
      </c>
      <c r="B125" s="8" t="s">
        <v>87</v>
      </c>
      <c r="C125" s="8">
        <v>21426.0</v>
      </c>
      <c r="D125" s="8" t="s">
        <v>69</v>
      </c>
      <c r="F125" s="8" t="s">
        <v>72</v>
      </c>
      <c r="G125" s="8">
        <v>3047.0</v>
      </c>
      <c r="H125" s="8" t="s">
        <v>29</v>
      </c>
      <c r="I125" s="8" t="s">
        <v>77</v>
      </c>
      <c r="L125" s="8" t="s">
        <v>37</v>
      </c>
      <c r="P125" s="9">
        <v>44107.0</v>
      </c>
      <c r="Q125" s="10">
        <v>0.22916666666424135</v>
      </c>
      <c r="R125" s="11" t="str">
        <f t="shared" si="1"/>
        <v>Пайка компонентов PRI</v>
      </c>
      <c r="S125" s="16" t="str">
        <f>iferror(VLOOKUP(C125,'ФИО'!A:B,2,0),"учётный код не найден")</f>
        <v>Скибинский Антон Германович</v>
      </c>
      <c r="T125" s="13" t="str">
        <f t="shared" si="2"/>
        <v>915-00081.A-Модуль Трик8 (Кибертех)</v>
      </c>
      <c r="U125" s="8">
        <v>0.0</v>
      </c>
      <c r="V125" s="8">
        <v>0.0</v>
      </c>
      <c r="W125" s="21" t="str">
        <f t="shared" si="16"/>
        <v>Данные не заполены</v>
      </c>
      <c r="X125" s="15" t="str">
        <f t="shared" si="14"/>
        <v>Данные не заполены</v>
      </c>
      <c r="Y125" s="15">
        <f t="shared" si="15"/>
        <v>0</v>
      </c>
      <c r="Z125" s="11"/>
    </row>
    <row r="126" hidden="1">
      <c r="A126" s="7">
        <v>44107.822649988426</v>
      </c>
      <c r="B126" s="8" t="s">
        <v>87</v>
      </c>
      <c r="C126" s="8">
        <v>20985.0</v>
      </c>
      <c r="D126" s="8" t="s">
        <v>69</v>
      </c>
      <c r="F126" s="8" t="s">
        <v>104</v>
      </c>
      <c r="L126" s="8" t="s">
        <v>31</v>
      </c>
      <c r="M126" s="8" t="s">
        <v>105</v>
      </c>
      <c r="N126" s="8"/>
      <c r="O126" s="8"/>
      <c r="P126" s="9">
        <v>44107.0</v>
      </c>
      <c r="Q126" s="10">
        <v>0.33333333333575865</v>
      </c>
      <c r="R126" s="11" t="str">
        <f t="shared" si="1"/>
        <v>Обучение</v>
      </c>
      <c r="S126" s="16" t="str">
        <f>iferror(VLOOKUP(C126,'ФИО'!A:B,2,0),"учётный код не найден")</f>
        <v>Никонорова Наталия Владимировна</v>
      </c>
      <c r="T126" s="13" t="str">
        <f t="shared" si="2"/>
        <v/>
      </c>
      <c r="W126" s="21" t="str">
        <f t="shared" si="16"/>
        <v>Данные не заполены</v>
      </c>
      <c r="X126" s="15" t="str">
        <f t="shared" si="14"/>
        <v>Данные не заполены</v>
      </c>
      <c r="Y126" s="15">
        <f t="shared" si="15"/>
        <v>0</v>
      </c>
      <c r="Z126" s="11"/>
    </row>
    <row r="127" hidden="1">
      <c r="A127" s="7">
        <v>44107.82469653935</v>
      </c>
      <c r="B127" s="8" t="s">
        <v>87</v>
      </c>
      <c r="C127" s="8">
        <v>20985.0</v>
      </c>
      <c r="D127" s="8" t="s">
        <v>27</v>
      </c>
      <c r="E127" s="8" t="s">
        <v>82</v>
      </c>
      <c r="G127" s="8">
        <v>3706.0</v>
      </c>
      <c r="H127" s="8" t="s">
        <v>45</v>
      </c>
      <c r="K127" s="8" t="s">
        <v>91</v>
      </c>
      <c r="L127" s="8" t="s">
        <v>31</v>
      </c>
      <c r="M127" s="8" t="s">
        <v>34</v>
      </c>
      <c r="N127" s="8"/>
      <c r="O127" s="8"/>
      <c r="P127" s="9">
        <v>44107.0</v>
      </c>
      <c r="Q127" s="10">
        <v>0.04166666666424135</v>
      </c>
      <c r="R127" s="11" t="str">
        <f t="shared" si="1"/>
        <v>Настройка установщиков</v>
      </c>
      <c r="S127" s="16" t="str">
        <f>iferror(VLOOKUP(C127,'ФИО'!A:B,2,0),"учётный код не найден")</f>
        <v>Никонорова Наталия Владимировна</v>
      </c>
      <c r="T127" s="13" t="str">
        <f t="shared" si="2"/>
        <v>ПУ Сигма 10/15 910-00080.D</v>
      </c>
      <c r="U127" s="8">
        <v>0.0</v>
      </c>
      <c r="V127" s="8">
        <v>0.0</v>
      </c>
      <c r="W127" s="21" t="str">
        <f t="shared" si="16"/>
        <v>Данные не заполены</v>
      </c>
      <c r="X127" s="15" t="str">
        <f t="shared" si="14"/>
        <v>Данные не заполены</v>
      </c>
      <c r="Y127" s="15">
        <f t="shared" si="15"/>
        <v>0</v>
      </c>
      <c r="Z127" s="11"/>
    </row>
    <row r="128" hidden="1">
      <c r="A128" s="7">
        <v>44107.82624527778</v>
      </c>
      <c r="B128" s="8" t="s">
        <v>87</v>
      </c>
      <c r="C128" s="8">
        <v>20985.0</v>
      </c>
      <c r="D128" s="8" t="s">
        <v>69</v>
      </c>
      <c r="F128" s="8" t="s">
        <v>106</v>
      </c>
      <c r="G128" s="8">
        <v>3232.0</v>
      </c>
      <c r="H128" s="8" t="s">
        <v>29</v>
      </c>
      <c r="I128" s="8" t="s">
        <v>60</v>
      </c>
      <c r="L128" s="8" t="s">
        <v>31</v>
      </c>
      <c r="M128" s="8" t="s">
        <v>34</v>
      </c>
      <c r="N128" s="8"/>
      <c r="O128" s="8"/>
      <c r="P128" s="9">
        <v>44107.0</v>
      </c>
      <c r="Q128" s="10">
        <v>0.04166666666424135</v>
      </c>
      <c r="R128" s="11" t="str">
        <f t="shared" si="1"/>
        <v>Настройка SEHO PRI</v>
      </c>
      <c r="S128" s="16" t="str">
        <f>iferror(VLOOKUP(C128,'ФИО'!A:B,2,0),"учётный код не найден")</f>
        <v>Никонорова Наталия Владимировна</v>
      </c>
      <c r="T128" s="13" t="str">
        <f t="shared" si="2"/>
        <v>915-00102.A - ПБОК-2В АСЛБ.465285.013 (Квант)</v>
      </c>
      <c r="U128" s="8">
        <v>0.0</v>
      </c>
      <c r="V128" s="8">
        <v>0.0</v>
      </c>
      <c r="W128" s="21" t="str">
        <f t="shared" si="16"/>
        <v>Данные не заполены</v>
      </c>
      <c r="X128" s="15" t="str">
        <f t="shared" si="14"/>
        <v>Данные не заполены</v>
      </c>
      <c r="Y128" s="15">
        <f t="shared" si="15"/>
        <v>0</v>
      </c>
      <c r="Z128" s="11"/>
    </row>
    <row r="129" hidden="1">
      <c r="A129" s="7">
        <v>44107.82675304398</v>
      </c>
      <c r="B129" s="8" t="s">
        <v>87</v>
      </c>
      <c r="C129" s="8">
        <v>20985.0</v>
      </c>
      <c r="D129" s="8" t="s">
        <v>69</v>
      </c>
      <c r="F129" s="8" t="s">
        <v>72</v>
      </c>
      <c r="G129" s="8">
        <v>3232.0</v>
      </c>
      <c r="H129" s="8" t="s">
        <v>29</v>
      </c>
      <c r="I129" s="8" t="s">
        <v>60</v>
      </c>
      <c r="L129" s="8" t="s">
        <v>31</v>
      </c>
      <c r="M129" s="8" t="s">
        <v>107</v>
      </c>
      <c r="N129" s="8"/>
      <c r="O129" s="8"/>
      <c r="P129" s="9">
        <v>44107.0</v>
      </c>
      <c r="Q129" s="10">
        <v>0.04166666666424135</v>
      </c>
      <c r="R129" s="11" t="str">
        <f t="shared" si="1"/>
        <v>Пайка компонентов PRI</v>
      </c>
      <c r="S129" s="16" t="str">
        <f>iferror(VLOOKUP(C129,'ФИО'!A:B,2,0),"учётный код не найден")</f>
        <v>Никонорова Наталия Владимировна</v>
      </c>
      <c r="T129" s="13" t="str">
        <f t="shared" si="2"/>
        <v>915-00102.A - ПБОК-2В АСЛБ.465285.013 (Квант)</v>
      </c>
      <c r="U129" s="8">
        <v>3.0</v>
      </c>
      <c r="V129" s="8">
        <v>0.0</v>
      </c>
      <c r="W129" s="21" t="str">
        <f t="shared" si="16"/>
        <v>Данные не заполены</v>
      </c>
      <c r="X129" s="15" t="str">
        <f t="shared" si="14"/>
        <v>Данные не заполены</v>
      </c>
      <c r="Y129" s="15">
        <f t="shared" si="15"/>
        <v>0</v>
      </c>
      <c r="Z129" s="11"/>
    </row>
    <row r="130" hidden="1">
      <c r="A130" s="7">
        <v>44106.78601083333</v>
      </c>
      <c r="B130" s="8" t="s">
        <v>87</v>
      </c>
      <c r="C130" s="8">
        <v>22575.0</v>
      </c>
      <c r="D130" s="8" t="s">
        <v>27</v>
      </c>
      <c r="E130" s="8" t="s">
        <v>66</v>
      </c>
      <c r="G130" s="8">
        <v>3579.0</v>
      </c>
      <c r="H130" s="8" t="s">
        <v>29</v>
      </c>
      <c r="I130" s="8" t="s">
        <v>42</v>
      </c>
      <c r="L130" s="8" t="s">
        <v>31</v>
      </c>
      <c r="M130" s="8" t="s">
        <v>34</v>
      </c>
      <c r="N130" s="8"/>
      <c r="O130" s="8"/>
      <c r="P130" s="9">
        <v>44106.0</v>
      </c>
      <c r="Q130" s="10">
        <v>0.14583333333575865</v>
      </c>
      <c r="R130" s="13" t="str">
        <f t="shared" si="1"/>
        <v>Проверка первой платы до оплавления</v>
      </c>
      <c r="S130" s="16" t="str">
        <f>iferror(VLOOKUP(C130,'ФИО'!A:B,2,0),"учётный код не найден")</f>
        <v>Куликов Виктор Алексеевич</v>
      </c>
      <c r="T130" s="13" t="str">
        <f t="shared" si="2"/>
        <v>915-00070.A - Модуль телематики ТМ1 v3 (Сознательные машины)</v>
      </c>
      <c r="U130" s="8">
        <v>1.0</v>
      </c>
      <c r="V130" s="8">
        <v>0.0</v>
      </c>
      <c r="W130" s="21" t="str">
        <f t="shared" si="16"/>
        <v>Данные не заполены</v>
      </c>
      <c r="X130" s="15" t="str">
        <f t="shared" si="14"/>
        <v>Данные не заполены</v>
      </c>
      <c r="Y130" s="15">
        <f t="shared" si="15"/>
        <v>0</v>
      </c>
      <c r="Z130" s="8" t="s">
        <v>108</v>
      </c>
    </row>
    <row r="131" hidden="1">
      <c r="A131" s="7">
        <v>44106.788816597225</v>
      </c>
      <c r="B131" s="8" t="s">
        <v>87</v>
      </c>
      <c r="C131" s="8">
        <v>22575.0</v>
      </c>
      <c r="D131" s="8" t="s">
        <v>27</v>
      </c>
      <c r="E131" s="8" t="s">
        <v>109</v>
      </c>
      <c r="G131" s="8">
        <v>3047.0</v>
      </c>
      <c r="H131" s="8" t="s">
        <v>29</v>
      </c>
      <c r="I131" s="8" t="s">
        <v>77</v>
      </c>
      <c r="L131" s="8" t="s">
        <v>31</v>
      </c>
      <c r="M131" s="8" t="s">
        <v>34</v>
      </c>
      <c r="N131" s="8"/>
      <c r="O131" s="8"/>
      <c r="P131" s="9">
        <v>44106.0</v>
      </c>
      <c r="Q131" s="10">
        <v>0.04513888889050577</v>
      </c>
      <c r="R131" s="13" t="str">
        <f t="shared" si="1"/>
        <v>Установка компонентов вручную</v>
      </c>
      <c r="S131" s="16" t="str">
        <f>iferror(VLOOKUP(C131,'ФИО'!A:B,2,0),"учётный код не найден")</f>
        <v>Куликов Виктор Алексеевич</v>
      </c>
      <c r="T131" s="13" t="str">
        <f t="shared" si="2"/>
        <v>915-00081.A-Модуль Трик8 (Кибертех)</v>
      </c>
      <c r="U131" s="8">
        <v>26.0</v>
      </c>
      <c r="V131" s="8">
        <v>0.0</v>
      </c>
      <c r="W131" s="21" t="str">
        <f t="shared" si="16"/>
        <v>Данные не заполены</v>
      </c>
      <c r="X131" s="15" t="str">
        <f t="shared" si="14"/>
        <v>Данные не заполены</v>
      </c>
      <c r="Y131" s="15">
        <f t="shared" si="15"/>
        <v>0</v>
      </c>
      <c r="Z131" s="8" t="s">
        <v>110</v>
      </c>
    </row>
    <row r="132" hidden="1">
      <c r="A132" s="7">
        <v>44106.82361400463</v>
      </c>
      <c r="B132" s="8" t="s">
        <v>87</v>
      </c>
      <c r="C132" s="8">
        <v>22575.0</v>
      </c>
      <c r="D132" s="8" t="s">
        <v>27</v>
      </c>
      <c r="E132" s="8" t="s">
        <v>88</v>
      </c>
      <c r="G132" s="8">
        <v>3579.0</v>
      </c>
      <c r="H132" s="8" t="s">
        <v>29</v>
      </c>
      <c r="I132" s="8" t="s">
        <v>42</v>
      </c>
      <c r="L132" s="8" t="s">
        <v>37</v>
      </c>
      <c r="P132" s="9">
        <v>44106.0</v>
      </c>
      <c r="Q132" s="10">
        <v>0.23958333333575865</v>
      </c>
      <c r="R132" s="13" t="str">
        <f t="shared" si="1"/>
        <v>Сборка на линии Sec</v>
      </c>
      <c r="S132" s="16" t="str">
        <f>iferror(VLOOKUP(C132,'ФИО'!A:B,2,0),"учётный код не найден")</f>
        <v>Куликов Виктор Алексеевич</v>
      </c>
      <c r="T132" s="13" t="str">
        <f t="shared" si="2"/>
        <v>915-00070.A - Модуль телематики ТМ1 v3 (Сознательные машины)</v>
      </c>
      <c r="U132" s="8">
        <v>0.0</v>
      </c>
      <c r="V132" s="8">
        <v>0.0</v>
      </c>
      <c r="W132" s="21" t="str">
        <f t="shared" si="16"/>
        <v>Данные не заполены</v>
      </c>
      <c r="X132" s="15" t="str">
        <f t="shared" si="14"/>
        <v>Данные не заполены</v>
      </c>
      <c r="Y132" s="15">
        <f t="shared" si="15"/>
        <v>0</v>
      </c>
    </row>
    <row r="133" hidden="1">
      <c r="A133" s="7">
        <v>44106.82389442129</v>
      </c>
      <c r="B133" s="8" t="s">
        <v>87</v>
      </c>
      <c r="C133" s="8">
        <v>22575.0</v>
      </c>
      <c r="D133" s="8" t="s">
        <v>27</v>
      </c>
      <c r="E133" s="8" t="s">
        <v>111</v>
      </c>
      <c r="L133" s="8" t="s">
        <v>31</v>
      </c>
      <c r="M133" s="8" t="s">
        <v>34</v>
      </c>
      <c r="N133" s="8"/>
      <c r="O133" s="8"/>
      <c r="P133" s="9">
        <v>44106.0</v>
      </c>
      <c r="Q133" s="10">
        <v>0.0034722222189884633</v>
      </c>
      <c r="R133" s="13" t="str">
        <f t="shared" si="1"/>
        <v>Уборка линии</v>
      </c>
      <c r="S133" s="16" t="str">
        <f>iferror(VLOOKUP(C133,'ФИО'!A:B,2,0),"учётный код не найден")</f>
        <v>Куликов Виктор Алексеевич</v>
      </c>
      <c r="T133" s="13" t="str">
        <f t="shared" si="2"/>
        <v/>
      </c>
      <c r="W133" s="21" t="str">
        <f t="shared" si="16"/>
        <v>Данные не заполены</v>
      </c>
      <c r="X133" s="15" t="str">
        <f t="shared" si="14"/>
        <v>Данные не заполены</v>
      </c>
      <c r="Y133" s="15">
        <f t="shared" si="15"/>
        <v>0</v>
      </c>
    </row>
    <row r="134" hidden="1">
      <c r="A134" s="7">
        <v>44107.81938634259</v>
      </c>
      <c r="B134" s="8" t="s">
        <v>87</v>
      </c>
      <c r="C134" s="8">
        <v>22575.0</v>
      </c>
      <c r="D134" s="8" t="s">
        <v>27</v>
      </c>
      <c r="E134" s="8" t="s">
        <v>88</v>
      </c>
      <c r="G134" s="8">
        <v>3579.0</v>
      </c>
      <c r="H134" s="8" t="s">
        <v>29</v>
      </c>
      <c r="I134" s="8" t="s">
        <v>42</v>
      </c>
      <c r="L134" s="8" t="s">
        <v>37</v>
      </c>
      <c r="P134" s="9">
        <v>44107.0</v>
      </c>
      <c r="Q134" s="10">
        <v>0.1875</v>
      </c>
      <c r="R134" s="11" t="str">
        <f t="shared" si="1"/>
        <v>Сборка на линии Sec</v>
      </c>
      <c r="S134" s="16" t="str">
        <f>iferror(VLOOKUP(C134,'ФИО'!A:B,2,0),"учётный код не найден")</f>
        <v>Куликов Виктор Алексеевич</v>
      </c>
      <c r="T134" s="13" t="str">
        <f t="shared" si="2"/>
        <v>915-00070.A - Модуль телематики ТМ1 v3 (Сознательные машины)</v>
      </c>
      <c r="U134" s="8">
        <v>0.0</v>
      </c>
      <c r="V134" s="8">
        <v>0.0</v>
      </c>
      <c r="W134" s="21" t="str">
        <f t="shared" si="16"/>
        <v>Данные не заполены</v>
      </c>
      <c r="X134" s="15" t="str">
        <f t="shared" si="14"/>
        <v>Данные не заполены</v>
      </c>
      <c r="Y134" s="15">
        <f t="shared" si="15"/>
        <v>0</v>
      </c>
      <c r="Z134" s="11"/>
    </row>
    <row r="135" hidden="1">
      <c r="A135" s="7">
        <v>44107.82064818287</v>
      </c>
      <c r="B135" s="8" t="s">
        <v>87</v>
      </c>
      <c r="C135" s="8">
        <v>22575.0</v>
      </c>
      <c r="D135" s="8" t="s">
        <v>27</v>
      </c>
      <c r="E135" s="8" t="s">
        <v>112</v>
      </c>
      <c r="G135" s="8">
        <v>3579.0</v>
      </c>
      <c r="H135" s="8" t="s">
        <v>29</v>
      </c>
      <c r="I135" s="8" t="s">
        <v>42</v>
      </c>
      <c r="L135" s="8" t="s">
        <v>31</v>
      </c>
      <c r="M135" s="8" t="s">
        <v>34</v>
      </c>
      <c r="N135" s="8"/>
      <c r="O135" s="8"/>
      <c r="P135" s="9">
        <v>44107.0</v>
      </c>
      <c r="Q135" s="10">
        <v>0.010416666666666666</v>
      </c>
      <c r="R135" s="11" t="str">
        <f t="shared" si="1"/>
        <v>Разрядка питателей Sec</v>
      </c>
      <c r="S135" s="16" t="str">
        <f>iferror(VLOOKUP(C135,'ФИО'!A:B,2,0),"учётный код не найден")</f>
        <v>Куликов Виктор Алексеевич</v>
      </c>
      <c r="T135" s="13" t="str">
        <f t="shared" si="2"/>
        <v>915-00070.A - Модуль телематики ТМ1 v3 (Сознательные машины)</v>
      </c>
      <c r="U135" s="8">
        <v>30.0</v>
      </c>
      <c r="V135" s="8">
        <v>0.0</v>
      </c>
      <c r="W135" s="21" t="str">
        <f t="shared" si="16"/>
        <v>Данные не заполены</v>
      </c>
      <c r="X135" s="15" t="str">
        <f t="shared" si="14"/>
        <v>Данные не заполены</v>
      </c>
      <c r="Y135" s="15">
        <f t="shared" si="15"/>
        <v>0</v>
      </c>
      <c r="Z135" s="11"/>
    </row>
    <row r="136" hidden="1">
      <c r="A136" s="7">
        <v>44107.82385850695</v>
      </c>
      <c r="B136" s="8" t="s">
        <v>87</v>
      </c>
      <c r="C136" s="8">
        <v>22575.0</v>
      </c>
      <c r="D136" s="8" t="s">
        <v>27</v>
      </c>
      <c r="E136" s="8" t="s">
        <v>55</v>
      </c>
      <c r="G136" s="8">
        <v>3706.0</v>
      </c>
      <c r="H136" s="8" t="s">
        <v>45</v>
      </c>
      <c r="K136" s="8" t="s">
        <v>91</v>
      </c>
      <c r="L136" s="8" t="s">
        <v>37</v>
      </c>
      <c r="P136" s="9">
        <v>44107.0</v>
      </c>
      <c r="Q136" s="10">
        <v>0.0034722222189884633</v>
      </c>
      <c r="R136" s="11" t="str">
        <f t="shared" si="1"/>
        <v>Маркировка плат</v>
      </c>
      <c r="S136" s="16" t="str">
        <f>iferror(VLOOKUP(C136,'ФИО'!A:B,2,0),"учётный код не найден")</f>
        <v>Куликов Виктор Алексеевич</v>
      </c>
      <c r="T136" s="13" t="str">
        <f t="shared" si="2"/>
        <v>ПУ Сигма 10/15 910-00080.D</v>
      </c>
      <c r="U136" s="8">
        <v>1.0</v>
      </c>
      <c r="V136" s="8">
        <v>0.0</v>
      </c>
      <c r="W136" s="21" t="str">
        <f t="shared" si="16"/>
        <v>Данные не заполены</v>
      </c>
      <c r="X136" s="15" t="str">
        <f t="shared" si="14"/>
        <v>Данные не заполены</v>
      </c>
      <c r="Y136" s="15">
        <f t="shared" si="15"/>
        <v>0</v>
      </c>
      <c r="Z136" s="11"/>
    </row>
    <row r="137" hidden="1">
      <c r="A137" s="7">
        <v>44112.817957129635</v>
      </c>
      <c r="B137" s="8" t="s">
        <v>26</v>
      </c>
      <c r="C137" s="8">
        <v>21803.0</v>
      </c>
      <c r="D137" s="8" t="s">
        <v>27</v>
      </c>
      <c r="E137" s="8" t="s">
        <v>50</v>
      </c>
      <c r="L137" s="8" t="s">
        <v>31</v>
      </c>
      <c r="M137" s="8" t="s">
        <v>34</v>
      </c>
      <c r="N137" s="8"/>
      <c r="O137" s="8"/>
      <c r="P137" s="9">
        <v>44112.0</v>
      </c>
      <c r="Q137" s="10">
        <v>0.006944444445252884</v>
      </c>
      <c r="R137" s="11" t="str">
        <f t="shared" si="1"/>
        <v>Заполнение отчёта</v>
      </c>
      <c r="S137" s="16" t="str">
        <f>iferror(VLOOKUP(C137,'ФИО'!A:B,2,0),"учётный код не найден")</f>
        <v>Белоглазова Виктория Сергеевна</v>
      </c>
      <c r="T137" s="13" t="str">
        <f t="shared" si="2"/>
        <v/>
      </c>
      <c r="W137" s="21" t="str">
        <f t="shared" si="16"/>
        <v>Данные не заполены</v>
      </c>
      <c r="X137" s="15" t="str">
        <f t="shared" si="14"/>
        <v>Данные не заполены</v>
      </c>
      <c r="Y137" s="15">
        <f t="shared" si="15"/>
        <v>0</v>
      </c>
    </row>
    <row r="138" hidden="1">
      <c r="A138" s="7">
        <v>44105.8111762037</v>
      </c>
      <c r="B138" s="8" t="s">
        <v>26</v>
      </c>
      <c r="C138" s="8">
        <v>21803.0</v>
      </c>
      <c r="D138" s="18" t="s">
        <v>27</v>
      </c>
      <c r="E138" s="8" t="s">
        <v>39</v>
      </c>
      <c r="G138" s="18">
        <v>3579.0</v>
      </c>
      <c r="H138" s="8" t="s">
        <v>29</v>
      </c>
      <c r="I138" s="8" t="s">
        <v>42</v>
      </c>
      <c r="L138" s="18" t="s">
        <v>31</v>
      </c>
      <c r="M138" s="8" t="s">
        <v>34</v>
      </c>
      <c r="P138" s="19">
        <v>44105.0</v>
      </c>
      <c r="Q138" s="20">
        <v>0.024305555554747116</v>
      </c>
      <c r="R138" s="13" t="str">
        <f t="shared" si="1"/>
        <v>Зарядка питателей Prim</v>
      </c>
      <c r="S138" s="16" t="str">
        <f>iferror(VLOOKUP(C138,'ФИО'!A:B,2,0),"учётный код не найден")</f>
        <v>Белоглазова Виктория Сергеевна</v>
      </c>
      <c r="T138" s="13" t="str">
        <f t="shared" si="2"/>
        <v>915-00070.A - Модуль телематики ТМ1 v3 (Сознательные машины)</v>
      </c>
      <c r="U138" s="8">
        <v>35.0</v>
      </c>
      <c r="V138" s="8">
        <v>0.0</v>
      </c>
      <c r="W138" s="21" t="str">
        <f t="shared" si="16"/>
        <v>Данные не заполены</v>
      </c>
      <c r="X138" s="15" t="str">
        <f t="shared" si="14"/>
        <v>Данные не заполены</v>
      </c>
      <c r="Y138" s="15">
        <f t="shared" si="15"/>
        <v>0</v>
      </c>
    </row>
    <row r="139" hidden="1">
      <c r="A139" s="7">
        <v>44108.33002890046</v>
      </c>
      <c r="B139" s="8" t="s">
        <v>38</v>
      </c>
      <c r="C139" s="8">
        <v>21803.0</v>
      </c>
      <c r="D139" s="8" t="s">
        <v>27</v>
      </c>
      <c r="E139" s="8" t="s">
        <v>39</v>
      </c>
      <c r="G139" s="8">
        <v>3726.0</v>
      </c>
      <c r="H139" s="8" t="s">
        <v>45</v>
      </c>
      <c r="K139" s="8" t="s">
        <v>58</v>
      </c>
      <c r="L139" s="8" t="s">
        <v>31</v>
      </c>
      <c r="M139" s="8" t="s">
        <v>34</v>
      </c>
      <c r="N139" s="8"/>
      <c r="O139" s="8"/>
      <c r="P139" s="9">
        <v>44107.0</v>
      </c>
      <c r="Q139" s="10">
        <v>0.006944444445252884</v>
      </c>
      <c r="R139" s="11" t="str">
        <f t="shared" si="1"/>
        <v>Зарядка питателей Prim</v>
      </c>
      <c r="S139" s="16" t="str">
        <f>iferror(VLOOKUP(C139,'ФИО'!A:B,2,0),"учётный код не найден")</f>
        <v>Белоглазова Виктория Сергеевна</v>
      </c>
      <c r="T139" s="13" t="str">
        <f t="shared" si="2"/>
        <v>ПУ метки i95</v>
      </c>
      <c r="U139" s="8">
        <v>10.0</v>
      </c>
      <c r="V139" s="8">
        <v>0.0</v>
      </c>
      <c r="W139" s="21" t="str">
        <f t="shared" si="16"/>
        <v>Данные не заполены</v>
      </c>
      <c r="X139" s="15" t="str">
        <f t="shared" si="14"/>
        <v>Данные не заполены</v>
      </c>
      <c r="Y139" s="15">
        <f t="shared" si="15"/>
        <v>0</v>
      </c>
    </row>
    <row r="140" hidden="1">
      <c r="A140" s="7">
        <v>44109.31771524306</v>
      </c>
      <c r="B140" s="8" t="s">
        <v>38</v>
      </c>
      <c r="C140" s="8">
        <v>21803.0</v>
      </c>
      <c r="D140" s="8" t="s">
        <v>27</v>
      </c>
      <c r="E140" s="8" t="s">
        <v>39</v>
      </c>
      <c r="G140" s="8">
        <v>3726.0</v>
      </c>
      <c r="H140" s="8" t="s">
        <v>45</v>
      </c>
      <c r="K140" s="8" t="s">
        <v>58</v>
      </c>
      <c r="L140" s="8" t="s">
        <v>31</v>
      </c>
      <c r="M140" s="8" t="s">
        <v>34</v>
      </c>
      <c r="N140" s="8"/>
      <c r="O140" s="8"/>
      <c r="P140" s="9">
        <v>44108.0</v>
      </c>
      <c r="Q140" s="10">
        <v>0.0034722222189884633</v>
      </c>
      <c r="R140" s="11" t="str">
        <f t="shared" si="1"/>
        <v>Зарядка питателей Prim</v>
      </c>
      <c r="S140" s="16" t="str">
        <f>iferror(VLOOKUP(C140,'ФИО'!A:B,2,0),"учётный код не найден")</f>
        <v>Белоглазова Виктория Сергеевна</v>
      </c>
      <c r="T140" s="13" t="str">
        <f t="shared" si="2"/>
        <v>ПУ метки i95</v>
      </c>
      <c r="U140" s="8">
        <v>5.0</v>
      </c>
      <c r="V140" s="8">
        <v>0.0</v>
      </c>
      <c r="W140" s="21" t="str">
        <f t="shared" si="16"/>
        <v>Данные не заполены</v>
      </c>
      <c r="X140" s="15" t="str">
        <f t="shared" si="14"/>
        <v>Данные не заполены</v>
      </c>
      <c r="Y140" s="15">
        <f t="shared" si="15"/>
        <v>0</v>
      </c>
    </row>
    <row r="141" hidden="1">
      <c r="A141" s="7">
        <v>44117.326748113424</v>
      </c>
      <c r="B141" s="8" t="s">
        <v>38</v>
      </c>
      <c r="C141" s="8">
        <v>21803.0</v>
      </c>
      <c r="D141" s="8" t="s">
        <v>27</v>
      </c>
      <c r="E141" s="8" t="s">
        <v>39</v>
      </c>
      <c r="G141" s="8">
        <v>3622.0</v>
      </c>
      <c r="H141" s="8" t="s">
        <v>29</v>
      </c>
      <c r="I141" s="8" t="s">
        <v>90</v>
      </c>
      <c r="L141" s="8" t="s">
        <v>31</v>
      </c>
      <c r="M141" s="8" t="s">
        <v>34</v>
      </c>
      <c r="N141" s="8"/>
      <c r="O141" s="8"/>
      <c r="P141" s="9">
        <v>44116.0</v>
      </c>
      <c r="Q141" s="10">
        <v>0.10416666666424135</v>
      </c>
      <c r="R141" s="11" t="str">
        <f t="shared" si="1"/>
        <v>Зарядка питателей Prim</v>
      </c>
      <c r="S141" s="16" t="str">
        <f>iferror(VLOOKUP(C141,'ФИО'!A:B,2,0),"учётный код не найден")</f>
        <v>Белоглазова Виктория Сергеевна</v>
      </c>
      <c r="T141" s="13" t="str">
        <f t="shared" si="2"/>
        <v>915-00124.A - Tioga Pass_v1.1 (Гагар.ин)</v>
      </c>
      <c r="U141" s="8">
        <v>150.0</v>
      </c>
      <c r="V141" s="8">
        <v>0.0</v>
      </c>
      <c r="W141" s="21" t="str">
        <f t="shared" si="16"/>
        <v>Данные не заполены</v>
      </c>
      <c r="X141" s="15" t="str">
        <f t="shared" si="14"/>
        <v>Данные не заполены</v>
      </c>
      <c r="Y141" s="15">
        <f t="shared" si="15"/>
        <v>0</v>
      </c>
    </row>
    <row r="142" hidden="1">
      <c r="A142" s="7">
        <v>44120.826268564815</v>
      </c>
      <c r="B142" s="8" t="s">
        <v>26</v>
      </c>
      <c r="C142" s="8">
        <v>21803.0</v>
      </c>
      <c r="D142" s="8" t="s">
        <v>27</v>
      </c>
      <c r="E142" s="8" t="s">
        <v>40</v>
      </c>
      <c r="G142" s="8">
        <v>3649.0</v>
      </c>
      <c r="H142" s="8" t="s">
        <v>29</v>
      </c>
      <c r="I142" s="8" t="s">
        <v>33</v>
      </c>
      <c r="L142" s="8" t="s">
        <v>31</v>
      </c>
      <c r="M142" s="8" t="s">
        <v>34</v>
      </c>
      <c r="P142" s="9">
        <v>44120.0</v>
      </c>
      <c r="Q142" s="10">
        <v>0.006944444445252884</v>
      </c>
      <c r="R142" s="11" t="str">
        <f t="shared" si="1"/>
        <v>Зарядка питателей Sec</v>
      </c>
      <c r="S142" s="16" t="str">
        <f>iferror(VLOOKUP(C142,'ФИО'!A:B,2,0),"учётный код не найден")</f>
        <v>Белоглазова Виктория Сергеевна</v>
      </c>
      <c r="T142" s="13" t="str">
        <f t="shared" si="2"/>
        <v>ssfp2.2 (Метротек)</v>
      </c>
      <c r="U142" s="8">
        <v>10.0</v>
      </c>
      <c r="V142" s="8">
        <v>0.0</v>
      </c>
      <c r="W142" s="17">
        <v>660.0</v>
      </c>
      <c r="X142" s="14">
        <f t="shared" si="14"/>
        <v>0.9999999999</v>
      </c>
      <c r="Y142" s="15">
        <f t="shared" si="15"/>
        <v>0</v>
      </c>
    </row>
    <row r="143" hidden="1">
      <c r="A143" s="7">
        <v>44105.827848506946</v>
      </c>
      <c r="B143" s="8" t="s">
        <v>26</v>
      </c>
      <c r="C143" s="8">
        <v>21803.0</v>
      </c>
      <c r="D143" s="18" t="s">
        <v>27</v>
      </c>
      <c r="E143" s="8" t="s">
        <v>55</v>
      </c>
      <c r="G143" s="18">
        <v>3233.0</v>
      </c>
      <c r="H143" s="8" t="s">
        <v>29</v>
      </c>
      <c r="I143" s="8" t="s">
        <v>60</v>
      </c>
      <c r="L143" s="18" t="s">
        <v>31</v>
      </c>
      <c r="M143" s="8" t="s">
        <v>113</v>
      </c>
      <c r="N143" s="8"/>
      <c r="O143" s="8"/>
      <c r="P143" s="19">
        <v>44105.0</v>
      </c>
      <c r="Q143" s="20">
        <v>0.020833333335758653</v>
      </c>
      <c r="R143" s="13" t="str">
        <f t="shared" si="1"/>
        <v>Маркировка плат</v>
      </c>
      <c r="S143" s="16" t="str">
        <f>iferror(VLOOKUP(C143,'ФИО'!A:B,2,0),"учётный код не найден")</f>
        <v>Белоглазова Виктория Сергеевна</v>
      </c>
      <c r="T143" s="13" t="str">
        <f t="shared" si="2"/>
        <v>915-00102.A - ПБОК-2В АСЛБ.465285.013 (Квант)</v>
      </c>
      <c r="U143" s="8">
        <v>0.0</v>
      </c>
      <c r="V143" s="8">
        <v>0.0</v>
      </c>
      <c r="W143" s="21" t="str">
        <f t="shared" ref="W143:W150" si="17">IFERROR((((38412/(ifs(O143&lt;35,35,O143&gt;34,O143)/N143)*0.7))),"Данные не заполены")</f>
        <v>Данные не заполены</v>
      </c>
      <c r="X143" s="15" t="str">
        <f t="shared" si="14"/>
        <v>Данные не заполены</v>
      </c>
      <c r="Y143" s="15">
        <f t="shared" si="15"/>
        <v>0</v>
      </c>
    </row>
    <row r="144" hidden="1">
      <c r="A144" s="7">
        <v>44109.31588746527</v>
      </c>
      <c r="B144" s="8" t="s">
        <v>38</v>
      </c>
      <c r="C144" s="8">
        <v>21803.0</v>
      </c>
      <c r="D144" s="8" t="s">
        <v>27</v>
      </c>
      <c r="E144" s="8" t="s">
        <v>55</v>
      </c>
      <c r="G144" s="8">
        <v>3233.0</v>
      </c>
      <c r="H144" s="8" t="s">
        <v>29</v>
      </c>
      <c r="I144" s="8" t="s">
        <v>60</v>
      </c>
      <c r="L144" s="8" t="s">
        <v>37</v>
      </c>
      <c r="P144" s="9">
        <v>44108.0</v>
      </c>
      <c r="Q144" s="10">
        <v>0.020833333335758653</v>
      </c>
      <c r="R144" s="11" t="str">
        <f t="shared" si="1"/>
        <v>Маркировка плат</v>
      </c>
      <c r="S144" s="16" t="str">
        <f>iferror(VLOOKUP(C144,'ФИО'!A:B,2,0),"учётный код не найден")</f>
        <v>Белоглазова Виктория Сергеевна</v>
      </c>
      <c r="T144" s="13" t="str">
        <f t="shared" si="2"/>
        <v>915-00102.A - ПБОК-2В АСЛБ.465285.013 (Квант)</v>
      </c>
      <c r="U144" s="8">
        <v>50.0</v>
      </c>
      <c r="V144" s="8">
        <v>0.0</v>
      </c>
      <c r="W144" s="21" t="str">
        <f t="shared" si="17"/>
        <v>Данные не заполены</v>
      </c>
      <c r="X144" s="15" t="str">
        <f t="shared" si="14"/>
        <v>Данные не заполены</v>
      </c>
      <c r="Y144" s="15">
        <f t="shared" si="15"/>
        <v>0</v>
      </c>
    </row>
    <row r="145" hidden="1">
      <c r="A145" s="7">
        <v>44112.82003505787</v>
      </c>
      <c r="B145" s="8" t="s">
        <v>26</v>
      </c>
      <c r="C145" s="8">
        <v>21803.0</v>
      </c>
      <c r="D145" s="8" t="s">
        <v>27</v>
      </c>
      <c r="E145" s="8" t="s">
        <v>55</v>
      </c>
      <c r="G145" s="8">
        <v>3238.0</v>
      </c>
      <c r="H145" s="8" t="s">
        <v>29</v>
      </c>
      <c r="I145" s="8" t="s">
        <v>43</v>
      </c>
      <c r="L145" s="8" t="s">
        <v>31</v>
      </c>
      <c r="M145" s="8" t="s">
        <v>34</v>
      </c>
      <c r="N145" s="8"/>
      <c r="O145" s="8"/>
      <c r="P145" s="9">
        <v>44112.0</v>
      </c>
      <c r="Q145" s="10">
        <v>0.04166666666424135</v>
      </c>
      <c r="R145" s="11" t="str">
        <f t="shared" si="1"/>
        <v>Маркировка плат</v>
      </c>
      <c r="S145" s="16" t="str">
        <f>iferror(VLOOKUP(C145,'ФИО'!A:B,2,0),"учётный код не найден")</f>
        <v>Белоглазова Виктория Сергеевна</v>
      </c>
      <c r="T145" s="13" t="str">
        <f t="shared" si="2"/>
        <v>915-00097.A - ПКД-8В-3 АСЛБ.467249.110 (Квант)</v>
      </c>
      <c r="U145" s="8">
        <v>0.0</v>
      </c>
      <c r="V145" s="8">
        <v>0.0</v>
      </c>
      <c r="W145" s="21" t="str">
        <f t="shared" si="17"/>
        <v>Данные не заполены</v>
      </c>
      <c r="X145" s="15" t="str">
        <f t="shared" si="14"/>
        <v>Данные не заполены</v>
      </c>
      <c r="Y145" s="15">
        <f t="shared" si="15"/>
        <v>0</v>
      </c>
      <c r="Z145" s="8" t="s">
        <v>114</v>
      </c>
    </row>
    <row r="146" hidden="1">
      <c r="A146" s="7">
        <v>44112.8253562037</v>
      </c>
      <c r="B146" s="8" t="s">
        <v>26</v>
      </c>
      <c r="C146" s="8">
        <v>21803.0</v>
      </c>
      <c r="D146" s="8" t="s">
        <v>27</v>
      </c>
      <c r="E146" s="8" t="s">
        <v>115</v>
      </c>
      <c r="G146" s="8">
        <v>3238.0</v>
      </c>
      <c r="H146" s="8" t="s">
        <v>29</v>
      </c>
      <c r="I146" s="8" t="s">
        <v>43</v>
      </c>
      <c r="L146" s="8" t="s">
        <v>31</v>
      </c>
      <c r="M146" s="8" t="s">
        <v>34</v>
      </c>
      <c r="N146" s="8"/>
      <c r="O146" s="8"/>
      <c r="P146" s="9">
        <v>44112.0</v>
      </c>
      <c r="Q146" s="10">
        <v>0.020833333335758653</v>
      </c>
      <c r="R146" s="11" t="str">
        <f t="shared" si="1"/>
        <v>Нанесение пасты</v>
      </c>
      <c r="S146" s="16" t="str">
        <f>iferror(VLOOKUP(C146,'ФИО'!A:B,2,0),"учётный код не найден")</f>
        <v>Белоглазова Виктория Сергеевна</v>
      </c>
      <c r="T146" s="13" t="str">
        <f t="shared" si="2"/>
        <v>915-00097.A - ПКД-8В-3 АСЛБ.467249.110 (Квант)</v>
      </c>
      <c r="U146" s="8">
        <v>0.0</v>
      </c>
      <c r="V146" s="8">
        <v>0.0</v>
      </c>
      <c r="W146" s="21" t="str">
        <f t="shared" si="17"/>
        <v>Данные не заполены</v>
      </c>
      <c r="X146" s="15" t="str">
        <f t="shared" si="14"/>
        <v>Данные не заполены</v>
      </c>
      <c r="Y146" s="15">
        <f t="shared" si="15"/>
        <v>0</v>
      </c>
    </row>
    <row r="147" hidden="1">
      <c r="A147" s="7">
        <v>44112.815086863426</v>
      </c>
      <c r="B147" s="8" t="s">
        <v>26</v>
      </c>
      <c r="C147" s="8">
        <v>21803.0</v>
      </c>
      <c r="D147" s="8" t="s">
        <v>69</v>
      </c>
      <c r="F147" s="8" t="s">
        <v>116</v>
      </c>
      <c r="G147" s="8">
        <v>3238.0</v>
      </c>
      <c r="H147" s="8" t="s">
        <v>29</v>
      </c>
      <c r="I147" s="8" t="s">
        <v>43</v>
      </c>
      <c r="L147" s="8" t="s">
        <v>31</v>
      </c>
      <c r="M147" s="8" t="s">
        <v>34</v>
      </c>
      <c r="N147" s="8"/>
      <c r="O147" s="8"/>
      <c r="P147" s="9">
        <v>44112.0</v>
      </c>
      <c r="Q147" s="10">
        <v>0.04166666666424135</v>
      </c>
      <c r="R147" s="11" t="str">
        <f t="shared" si="1"/>
        <v>Написание программы для SEHO SEC</v>
      </c>
      <c r="S147" s="16" t="str">
        <f>iferror(VLOOKUP(C147,'ФИО'!A:B,2,0),"учётный код не найден")</f>
        <v>Белоглазова Виктория Сергеевна</v>
      </c>
      <c r="T147" s="13" t="str">
        <f t="shared" si="2"/>
        <v>915-00097.A - ПКД-8В-3 АСЛБ.467249.110 (Квант)</v>
      </c>
      <c r="U147" s="8">
        <v>0.0</v>
      </c>
      <c r="V147" s="8">
        <v>0.0</v>
      </c>
      <c r="W147" s="21" t="str">
        <f t="shared" si="17"/>
        <v>Данные не заполены</v>
      </c>
      <c r="X147" s="15" t="str">
        <f t="shared" si="14"/>
        <v>Данные не заполены</v>
      </c>
      <c r="Y147" s="15">
        <f t="shared" si="15"/>
        <v>0</v>
      </c>
    </row>
    <row r="148" hidden="1">
      <c r="A148" s="7">
        <v>44105.81054020833</v>
      </c>
      <c r="B148" s="8" t="s">
        <v>26</v>
      </c>
      <c r="C148" s="8">
        <v>21803.0</v>
      </c>
      <c r="D148" s="18" t="s">
        <v>27</v>
      </c>
      <c r="E148" s="8" t="s">
        <v>57</v>
      </c>
      <c r="G148" s="18">
        <v>3579.0</v>
      </c>
      <c r="H148" s="8" t="s">
        <v>29</v>
      </c>
      <c r="I148" s="8" t="s">
        <v>42</v>
      </c>
      <c r="L148" s="18" t="s">
        <v>31</v>
      </c>
      <c r="M148" s="8" t="s">
        <v>34</v>
      </c>
      <c r="P148" s="19">
        <v>44105.0</v>
      </c>
      <c r="Q148" s="20">
        <v>0.020833333335758653</v>
      </c>
      <c r="R148" s="13" t="str">
        <f t="shared" si="1"/>
        <v>Настройка линии Primary</v>
      </c>
      <c r="S148" s="16" t="str">
        <f>iferror(VLOOKUP(C148,'ФИО'!A:B,2,0),"учётный код не найден")</f>
        <v>Белоглазова Виктория Сергеевна</v>
      </c>
      <c r="T148" s="13" t="str">
        <f t="shared" si="2"/>
        <v>915-00070.A - Модуль телематики ТМ1 v3 (Сознательные машины)</v>
      </c>
      <c r="U148" s="8">
        <v>0.0</v>
      </c>
      <c r="V148" s="8">
        <v>0.0</v>
      </c>
      <c r="W148" s="21" t="str">
        <f t="shared" si="17"/>
        <v>Данные не заполены</v>
      </c>
      <c r="X148" s="15" t="str">
        <f t="shared" si="14"/>
        <v>Данные не заполены</v>
      </c>
      <c r="Y148" s="15">
        <f t="shared" si="15"/>
        <v>0</v>
      </c>
    </row>
    <row r="149" hidden="1">
      <c r="A149" s="7">
        <v>44112.82830420139</v>
      </c>
      <c r="B149" s="8" t="s">
        <v>26</v>
      </c>
      <c r="C149" s="8">
        <v>21803.0</v>
      </c>
      <c r="D149" s="8" t="s">
        <v>27</v>
      </c>
      <c r="E149" s="8" t="s">
        <v>57</v>
      </c>
      <c r="G149" s="8">
        <v>3750.0</v>
      </c>
      <c r="H149" s="8" t="s">
        <v>9</v>
      </c>
      <c r="J149" s="8" t="s">
        <v>46</v>
      </c>
      <c r="L149" s="8" t="s">
        <v>31</v>
      </c>
      <c r="M149" s="8" t="s">
        <v>34</v>
      </c>
      <c r="N149" s="8"/>
      <c r="O149" s="8"/>
      <c r="P149" s="9">
        <v>44112.0</v>
      </c>
      <c r="Q149" s="10">
        <v>0.020833333335758653</v>
      </c>
      <c r="R149" s="11" t="str">
        <f t="shared" si="1"/>
        <v>Настройка линии Primary</v>
      </c>
      <c r="S149" s="16" t="str">
        <f>iferror(VLOOKUP(C149,'ФИО'!A:B,2,0),"учётный код не найден")</f>
        <v>Белоглазова Виктория Сергеевна</v>
      </c>
      <c r="T149" s="13" t="str">
        <f t="shared" si="2"/>
        <v>ПУ 910-00349.A "Печатный узел основного блока E96 4LIN"</v>
      </c>
      <c r="U149" s="8">
        <v>0.0</v>
      </c>
      <c r="V149" s="8">
        <v>0.0</v>
      </c>
      <c r="W149" s="21" t="str">
        <f t="shared" si="17"/>
        <v>Данные не заполены</v>
      </c>
      <c r="X149" s="15" t="str">
        <f t="shared" si="14"/>
        <v>Данные не заполены</v>
      </c>
      <c r="Y149" s="15">
        <f t="shared" si="15"/>
        <v>0</v>
      </c>
    </row>
    <row r="150" hidden="1">
      <c r="A150" s="7">
        <v>44120.825230428236</v>
      </c>
      <c r="B150" s="8" t="s">
        <v>26</v>
      </c>
      <c r="C150" s="8">
        <v>21803.0</v>
      </c>
      <c r="D150" s="8" t="s">
        <v>27</v>
      </c>
      <c r="E150" s="8" t="s">
        <v>57</v>
      </c>
      <c r="G150" s="8">
        <v>3649.0</v>
      </c>
      <c r="H150" s="8" t="s">
        <v>29</v>
      </c>
      <c r="I150" s="8" t="s">
        <v>33</v>
      </c>
      <c r="L150" s="8" t="s">
        <v>31</v>
      </c>
      <c r="M150" s="8" t="s">
        <v>34</v>
      </c>
      <c r="P150" s="9">
        <v>44120.0</v>
      </c>
      <c r="Q150" s="10">
        <v>0.020833333335758653</v>
      </c>
      <c r="R150" s="11" t="str">
        <f t="shared" si="1"/>
        <v>Настройка линии Primary</v>
      </c>
      <c r="S150" s="16" t="str">
        <f>iferror(VLOOKUP(C150,'ФИО'!A:B,2,0),"учётный код не найден")</f>
        <v>Белоглазова Виктория Сергеевна</v>
      </c>
      <c r="T150" s="13" t="str">
        <f t="shared" si="2"/>
        <v>ssfp2.2 (Метротек)</v>
      </c>
      <c r="U150" s="8">
        <v>0.0</v>
      </c>
      <c r="V150" s="8">
        <v>0.0</v>
      </c>
      <c r="W150" s="17" t="str">
        <f t="shared" si="17"/>
        <v>Данные не заполены</v>
      </c>
      <c r="X150" s="14" t="str">
        <f t="shared" si="14"/>
        <v>Данные не заполены</v>
      </c>
      <c r="Y150" s="15">
        <f t="shared" si="15"/>
        <v>0</v>
      </c>
    </row>
    <row r="151" hidden="1">
      <c r="A151" s="7">
        <v>44125.31290333333</v>
      </c>
      <c r="B151" s="8" t="s">
        <v>38</v>
      </c>
      <c r="C151" s="8">
        <v>21803.0</v>
      </c>
      <c r="D151" s="8" t="s">
        <v>27</v>
      </c>
      <c r="E151" s="8" t="s">
        <v>57</v>
      </c>
      <c r="G151" s="8">
        <v>3253.0</v>
      </c>
      <c r="H151" s="8" t="s">
        <v>29</v>
      </c>
      <c r="I151" s="8" t="s">
        <v>95</v>
      </c>
      <c r="L151" s="8" t="s">
        <v>31</v>
      </c>
      <c r="M151" s="8" t="s">
        <v>34</v>
      </c>
      <c r="P151" s="9">
        <v>44124.0</v>
      </c>
      <c r="Q151" s="10">
        <v>0.04166666666424135</v>
      </c>
      <c r="R151" s="11" t="str">
        <f t="shared" si="1"/>
        <v>Настройка линии Primary</v>
      </c>
      <c r="S151" s="16" t="str">
        <f>iferror(VLOOKUP(C151,'ФИО'!A:B,2,0),"учётный код не найден")</f>
        <v>Белоглазова Виктория Сергеевна</v>
      </c>
      <c r="T151" s="13" t="str">
        <f t="shared" si="2"/>
        <v>915-00095.A - ПКД-8В-1 АСЛБ.467249.108 (Квант)</v>
      </c>
      <c r="U151" s="8">
        <v>0.0</v>
      </c>
      <c r="V151" s="8">
        <v>0.0</v>
      </c>
      <c r="X151" s="14" t="str">
        <f t="shared" si="14"/>
        <v>Данные не заполены</v>
      </c>
      <c r="Y151" s="15">
        <f t="shared" si="15"/>
        <v>0</v>
      </c>
    </row>
    <row r="152" hidden="1">
      <c r="A152" s="7">
        <v>44112.83295053241</v>
      </c>
      <c r="B152" s="8" t="s">
        <v>26</v>
      </c>
      <c r="C152" s="8">
        <v>21752.0</v>
      </c>
      <c r="D152" s="8" t="s">
        <v>27</v>
      </c>
      <c r="E152" s="8" t="s">
        <v>51</v>
      </c>
      <c r="G152" s="8">
        <v>3419.0</v>
      </c>
      <c r="H152" s="8" t="s">
        <v>29</v>
      </c>
      <c r="I152" s="8" t="s">
        <v>75</v>
      </c>
      <c r="L152" s="8" t="s">
        <v>31</v>
      </c>
      <c r="M152" s="8" t="s">
        <v>117</v>
      </c>
      <c r="N152" s="8"/>
      <c r="O152" s="8"/>
      <c r="P152" s="9">
        <v>44112.0</v>
      </c>
      <c r="Q152" s="10">
        <v>0.020833333335758653</v>
      </c>
      <c r="R152" s="11" t="str">
        <f t="shared" si="1"/>
        <v>Внутрисхемное тестирование ICT</v>
      </c>
      <c r="S152" s="16" t="str">
        <f>iferror(VLOOKUP(C152,'ФИО'!A:B,2,0),"учётный код не найден")</f>
        <v>Егоров Александр Александрович</v>
      </c>
      <c r="T152" s="13" t="str">
        <f t="shared" si="2"/>
        <v>ПБУИК-37В ASLB_758726_011r1 (Квант)</v>
      </c>
      <c r="U152" s="8">
        <v>8.0</v>
      </c>
      <c r="V152" s="8">
        <v>0.0</v>
      </c>
      <c r="W152" s="21" t="str">
        <f t="shared" ref="W152:W157" si="18">IFERROR((((38412/(ifs(O152&lt;35,35,O152&gt;34,O152)/N152)*0.7))),"Данные не заполены")</f>
        <v>Данные не заполены</v>
      </c>
      <c r="X152" s="15" t="str">
        <f t="shared" si="14"/>
        <v>Данные не заполены</v>
      </c>
      <c r="Y152" s="15">
        <f t="shared" si="15"/>
        <v>0</v>
      </c>
    </row>
    <row r="153" hidden="1">
      <c r="A153" s="7">
        <v>44113.86621570602</v>
      </c>
      <c r="B153" s="8" t="s">
        <v>26</v>
      </c>
      <c r="C153" s="8">
        <v>21752.0</v>
      </c>
      <c r="D153" s="8" t="s">
        <v>27</v>
      </c>
      <c r="E153" s="8" t="s">
        <v>51</v>
      </c>
      <c r="G153" s="8">
        <v>3706.0</v>
      </c>
      <c r="H153" s="8" t="s">
        <v>45</v>
      </c>
      <c r="K153" s="8" t="s">
        <v>91</v>
      </c>
      <c r="L153" s="8" t="s">
        <v>37</v>
      </c>
      <c r="P153" s="9">
        <v>44113.0</v>
      </c>
      <c r="Q153" s="10">
        <v>0.04166666666424135</v>
      </c>
      <c r="R153" s="11" t="str">
        <f t="shared" si="1"/>
        <v>Внутрисхемное тестирование ICT</v>
      </c>
      <c r="S153" s="16" t="str">
        <f>iferror(VLOOKUP(C153,'ФИО'!A:B,2,0),"учётный код не найден")</f>
        <v>Егоров Александр Александрович</v>
      </c>
      <c r="T153" s="13" t="str">
        <f t="shared" si="2"/>
        <v>ПУ Сигма 10/15 910-00080.D</v>
      </c>
      <c r="U153" s="8">
        <v>128.0</v>
      </c>
      <c r="V153" s="8">
        <v>0.0</v>
      </c>
      <c r="W153" s="21" t="str">
        <f t="shared" si="18"/>
        <v>Данные не заполены</v>
      </c>
      <c r="X153" s="15" t="str">
        <f t="shared" si="14"/>
        <v>Данные не заполены</v>
      </c>
      <c r="Y153" s="15">
        <f t="shared" si="15"/>
        <v>0</v>
      </c>
    </row>
    <row r="154" hidden="1">
      <c r="A154" s="7">
        <v>44113.868921064815</v>
      </c>
      <c r="B154" s="8" t="s">
        <v>26</v>
      </c>
      <c r="C154" s="8">
        <v>21752.0</v>
      </c>
      <c r="D154" s="8" t="s">
        <v>27</v>
      </c>
      <c r="E154" s="8" t="s">
        <v>51</v>
      </c>
      <c r="G154" s="8">
        <v>3750.0</v>
      </c>
      <c r="H154" s="8" t="s">
        <v>45</v>
      </c>
      <c r="K154" s="8" t="s">
        <v>46</v>
      </c>
      <c r="L154" s="8" t="s">
        <v>31</v>
      </c>
      <c r="M154" s="8" t="s">
        <v>118</v>
      </c>
      <c r="N154" s="8"/>
      <c r="O154" s="8"/>
      <c r="P154" s="9">
        <v>44113.0</v>
      </c>
      <c r="Q154" s="10">
        <v>0.05208333333575865</v>
      </c>
      <c r="R154" s="11" t="str">
        <f t="shared" si="1"/>
        <v>Внутрисхемное тестирование ICT</v>
      </c>
      <c r="S154" s="16" t="str">
        <f>iferror(VLOOKUP(C154,'ФИО'!A:B,2,0),"учётный код не найден")</f>
        <v>Егоров Александр Александрович</v>
      </c>
      <c r="T154" s="13" t="str">
        <f t="shared" si="2"/>
        <v>ПУ 910-00349.A "Печатный узел основного блока E96 4LIN"</v>
      </c>
      <c r="U154" s="8">
        <v>4.0</v>
      </c>
      <c r="V154" s="8">
        <v>0.0</v>
      </c>
      <c r="W154" s="21" t="str">
        <f t="shared" si="18"/>
        <v>Данные не заполены</v>
      </c>
      <c r="X154" s="15" t="str">
        <f t="shared" si="14"/>
        <v>Данные не заполены</v>
      </c>
      <c r="Y154" s="15">
        <f t="shared" si="15"/>
        <v>0</v>
      </c>
    </row>
    <row r="155" hidden="1">
      <c r="A155" s="7">
        <v>44116.32864</v>
      </c>
      <c r="B155" s="8" t="s">
        <v>38</v>
      </c>
      <c r="C155" s="8">
        <v>21752.0</v>
      </c>
      <c r="D155" s="8" t="s">
        <v>27</v>
      </c>
      <c r="E155" s="8" t="s">
        <v>51</v>
      </c>
      <c r="G155" s="8">
        <v>3750.0</v>
      </c>
      <c r="H155" s="8" t="s">
        <v>45</v>
      </c>
      <c r="K155" s="8" t="s">
        <v>46</v>
      </c>
      <c r="L155" s="8" t="s">
        <v>37</v>
      </c>
      <c r="P155" s="9">
        <v>44115.0</v>
      </c>
      <c r="Q155" s="10">
        <v>0.33333333333575865</v>
      </c>
      <c r="R155" s="11" t="str">
        <f t="shared" si="1"/>
        <v>Внутрисхемное тестирование ICT</v>
      </c>
      <c r="S155" s="16" t="str">
        <f>iferror(VLOOKUP(C155,'ФИО'!A:B,2,0),"учётный код не найден")</f>
        <v>Егоров Александр Александрович</v>
      </c>
      <c r="T155" s="13" t="str">
        <f t="shared" si="2"/>
        <v>ПУ 910-00349.A "Печатный узел основного блока E96 4LIN"</v>
      </c>
      <c r="U155" s="8">
        <v>296.0</v>
      </c>
      <c r="V155" s="8">
        <v>4.0</v>
      </c>
      <c r="W155" s="21" t="str">
        <f t="shared" si="18"/>
        <v>Данные не заполены</v>
      </c>
      <c r="X155" s="15" t="str">
        <f t="shared" si="14"/>
        <v>Данные не заполены</v>
      </c>
      <c r="Y155" s="15">
        <f t="shared" si="15"/>
        <v>0.01351351351</v>
      </c>
    </row>
    <row r="156" hidden="1">
      <c r="A156" s="7">
        <v>44117.332226412036</v>
      </c>
      <c r="B156" s="8" t="s">
        <v>38</v>
      </c>
      <c r="C156" s="8">
        <v>21752.0</v>
      </c>
      <c r="D156" s="8" t="s">
        <v>27</v>
      </c>
      <c r="E156" s="8" t="s">
        <v>51</v>
      </c>
      <c r="G156" s="8">
        <v>3750.0</v>
      </c>
      <c r="H156" s="8" t="s">
        <v>45</v>
      </c>
      <c r="K156" s="8" t="s">
        <v>46</v>
      </c>
      <c r="L156" s="8" t="s">
        <v>37</v>
      </c>
      <c r="P156" s="9">
        <v>44116.0</v>
      </c>
      <c r="Q156" s="10">
        <v>0.45833333333575865</v>
      </c>
      <c r="R156" s="11" t="str">
        <f t="shared" si="1"/>
        <v>Внутрисхемное тестирование ICT</v>
      </c>
      <c r="S156" s="16" t="str">
        <f>iferror(VLOOKUP(C156,'ФИО'!A:B,2,0),"учётный код не найден")</f>
        <v>Егоров Александр Александрович</v>
      </c>
      <c r="T156" s="13" t="str">
        <f t="shared" si="2"/>
        <v>ПУ 910-00349.A "Печатный узел основного блока E96 4LIN"</v>
      </c>
      <c r="U156" s="8">
        <v>664.0</v>
      </c>
      <c r="V156" s="8">
        <v>0.0</v>
      </c>
      <c r="W156" s="21" t="str">
        <f t="shared" si="18"/>
        <v>Данные не заполены</v>
      </c>
      <c r="X156" s="15" t="str">
        <f t="shared" si="14"/>
        <v>Данные не заполены</v>
      </c>
      <c r="Y156" s="15">
        <f t="shared" si="15"/>
        <v>0</v>
      </c>
    </row>
    <row r="157" hidden="1">
      <c r="A157" s="7">
        <v>44121.81722020834</v>
      </c>
      <c r="B157" s="8" t="s">
        <v>26</v>
      </c>
      <c r="C157" s="8">
        <v>21522.0</v>
      </c>
      <c r="D157" s="8" t="s">
        <v>27</v>
      </c>
      <c r="E157" s="8" t="s">
        <v>57</v>
      </c>
      <c r="G157" s="8">
        <v>3754.0</v>
      </c>
      <c r="H157" s="8" t="s">
        <v>45</v>
      </c>
      <c r="K157" s="8" t="s">
        <v>119</v>
      </c>
      <c r="L157" s="8" t="s">
        <v>31</v>
      </c>
      <c r="M157" s="8" t="s">
        <v>34</v>
      </c>
      <c r="P157" s="9">
        <v>44121.0</v>
      </c>
      <c r="Q157" s="10">
        <v>0.04166666666424135</v>
      </c>
      <c r="R157" s="11" t="str">
        <f t="shared" si="1"/>
        <v>Настройка линии Primary</v>
      </c>
      <c r="S157" s="16" t="str">
        <f>iferror(VLOOKUP(C157,'ФИО'!A:B,2,0),"учётный код не найден")</f>
        <v>Исаев Никита Дмитриевич</v>
      </c>
      <c r="T157" s="13" t="str">
        <f t="shared" si="2"/>
        <v>ПУ 910-00134.B (A96 модуль 2CAN+2LIN)</v>
      </c>
      <c r="U157" s="8">
        <v>0.0</v>
      </c>
      <c r="V157" s="8">
        <v>0.0</v>
      </c>
      <c r="W157" s="17" t="str">
        <f t="shared" si="18"/>
        <v>Данные не заполены</v>
      </c>
      <c r="X157" s="14" t="str">
        <f t="shared" si="14"/>
        <v>Данные не заполены</v>
      </c>
      <c r="Y157" s="15">
        <f t="shared" si="15"/>
        <v>0</v>
      </c>
    </row>
    <row r="158" hidden="1">
      <c r="A158" s="7">
        <v>44125.315762199076</v>
      </c>
      <c r="B158" s="8" t="s">
        <v>38</v>
      </c>
      <c r="C158" s="8">
        <v>21522.0</v>
      </c>
      <c r="D158" s="8" t="s">
        <v>27</v>
      </c>
      <c r="E158" s="8" t="s">
        <v>57</v>
      </c>
      <c r="G158" s="8">
        <v>3253.0</v>
      </c>
      <c r="H158" s="8" t="s">
        <v>29</v>
      </c>
      <c r="I158" s="8" t="s">
        <v>95</v>
      </c>
      <c r="L158" s="8" t="s">
        <v>31</v>
      </c>
      <c r="M158" s="8" t="s">
        <v>34</v>
      </c>
      <c r="P158" s="9">
        <v>44124.0</v>
      </c>
      <c r="Q158" s="10">
        <v>0.04166666666424135</v>
      </c>
      <c r="R158" s="11" t="str">
        <f t="shared" si="1"/>
        <v>Настройка линии Primary</v>
      </c>
      <c r="S158" s="16" t="str">
        <f>iferror(VLOOKUP(C158,'ФИО'!A:B,2,0),"учётный код не найден")</f>
        <v>Исаев Никита Дмитриевич</v>
      </c>
      <c r="T158" s="13" t="str">
        <f t="shared" si="2"/>
        <v>915-00095.A - ПКД-8В-1 АСЛБ.467249.108 (Квант)</v>
      </c>
      <c r="U158" s="8">
        <v>0.0</v>
      </c>
      <c r="V158" s="8">
        <v>0.0</v>
      </c>
      <c r="X158" s="14" t="str">
        <f t="shared" si="14"/>
        <v>Данные не заполены</v>
      </c>
      <c r="Y158" s="15">
        <f t="shared" si="15"/>
        <v>0</v>
      </c>
    </row>
    <row r="159" hidden="1">
      <c r="A159" s="7">
        <v>44125.31565859954</v>
      </c>
      <c r="B159" s="8" t="s">
        <v>38</v>
      </c>
      <c r="C159" s="8">
        <v>21522.0</v>
      </c>
      <c r="D159" s="8" t="s">
        <v>27</v>
      </c>
      <c r="E159" s="8" t="s">
        <v>57</v>
      </c>
      <c r="G159" s="8">
        <v>3804.0</v>
      </c>
      <c r="H159" s="8" t="s">
        <v>45</v>
      </c>
      <c r="K159" s="8" t="s">
        <v>52</v>
      </c>
      <c r="L159" s="8" t="s">
        <v>31</v>
      </c>
      <c r="M159" s="8" t="s">
        <v>34</v>
      </c>
      <c r="P159" s="9">
        <v>44124.0</v>
      </c>
      <c r="Q159" s="10">
        <v>0.020833333335758653</v>
      </c>
      <c r="R159" s="11" t="str">
        <f t="shared" si="1"/>
        <v>Настройка линии Primary</v>
      </c>
      <c r="S159" s="16" t="str">
        <f>iferror(VLOOKUP(C159,'ФИО'!A:B,2,0),"учётный код не найден")</f>
        <v>Исаев Никита Дмитриевич</v>
      </c>
      <c r="T159" s="13" t="str">
        <f t="shared" si="2"/>
        <v>М17V2 (900-00018.D)_910-00023.H и ПУ 910-00012.I</v>
      </c>
      <c r="U159" s="8">
        <v>0.0</v>
      </c>
      <c r="V159" s="8">
        <v>0.0</v>
      </c>
      <c r="X159" s="14" t="str">
        <f t="shared" si="14"/>
        <v>Данные не заполены</v>
      </c>
      <c r="Y159" s="15">
        <f t="shared" si="15"/>
        <v>0</v>
      </c>
    </row>
    <row r="160" hidden="1">
      <c r="A160" s="7">
        <v>44133.316130231484</v>
      </c>
      <c r="B160" s="8" t="s">
        <v>38</v>
      </c>
      <c r="C160" s="8">
        <v>21522.0</v>
      </c>
      <c r="D160" s="8" t="s">
        <v>27</v>
      </c>
      <c r="E160" s="8" t="s">
        <v>57</v>
      </c>
      <c r="G160" s="8">
        <v>3802.0</v>
      </c>
      <c r="H160" s="8" t="s">
        <v>45</v>
      </c>
      <c r="K160" s="8" t="s">
        <v>120</v>
      </c>
      <c r="L160" s="8" t="s">
        <v>31</v>
      </c>
      <c r="M160" s="8" t="s">
        <v>34</v>
      </c>
      <c r="P160" s="9">
        <v>44132.0</v>
      </c>
      <c r="Q160" s="10">
        <v>0.04166666666424135</v>
      </c>
      <c r="R160" s="11" t="str">
        <f t="shared" si="1"/>
        <v>Настройка линии Primary</v>
      </c>
      <c r="S160" s="12" t="str">
        <f>iferror(VLOOKUP(C160,'ФИО'!A:B,2,0),"учётный код не найден")</f>
        <v>Исаев Никита Дмитриевич</v>
      </c>
      <c r="T160" s="13" t="str">
        <f t="shared" si="2"/>
        <v>М15ECO (900-00030.С) 910-00034.C/910-00041.C</v>
      </c>
      <c r="U160" s="8">
        <v>0.0</v>
      </c>
      <c r="V160" s="8">
        <v>0.0</v>
      </c>
      <c r="X160" s="14" t="str">
        <f t="shared" si="14"/>
        <v>Данные не заполены</v>
      </c>
      <c r="Y160" s="15">
        <f t="shared" si="15"/>
        <v>0</v>
      </c>
    </row>
    <row r="161" hidden="1">
      <c r="A161" s="7">
        <v>44125.31569721065</v>
      </c>
      <c r="B161" s="8" t="s">
        <v>38</v>
      </c>
      <c r="C161" s="8">
        <v>21522.0</v>
      </c>
      <c r="D161" s="8" t="s">
        <v>27</v>
      </c>
      <c r="E161" s="8" t="s">
        <v>121</v>
      </c>
      <c r="G161" s="8">
        <v>3804.0</v>
      </c>
      <c r="H161" s="8" t="s">
        <v>45</v>
      </c>
      <c r="K161" s="8" t="s">
        <v>52</v>
      </c>
      <c r="L161" s="8" t="s">
        <v>31</v>
      </c>
      <c r="M161" s="8" t="s">
        <v>34</v>
      </c>
      <c r="P161" s="9">
        <v>44124.0</v>
      </c>
      <c r="Q161" s="10">
        <v>0.020833333335758653</v>
      </c>
      <c r="R161" s="11" t="str">
        <f t="shared" si="1"/>
        <v>Настройка линии Secondary</v>
      </c>
      <c r="S161" s="16" t="str">
        <f>iferror(VLOOKUP(C161,'ФИО'!A:B,2,0),"учётный код не найден")</f>
        <v>Исаев Никита Дмитриевич</v>
      </c>
      <c r="T161" s="13" t="str">
        <f t="shared" si="2"/>
        <v>М17V2 (900-00018.D)_910-00023.H и ПУ 910-00012.I</v>
      </c>
      <c r="U161" s="8">
        <v>0.0</v>
      </c>
      <c r="V161" s="8">
        <v>0.0</v>
      </c>
      <c r="X161" s="14" t="str">
        <f t="shared" si="14"/>
        <v>Данные не заполены</v>
      </c>
      <c r="Y161" s="15">
        <f t="shared" si="15"/>
        <v>0</v>
      </c>
    </row>
    <row r="162" hidden="1">
      <c r="A162" s="7">
        <v>44120.82840783565</v>
      </c>
      <c r="B162" s="8" t="s">
        <v>26</v>
      </c>
      <c r="C162" s="8">
        <v>20751.0</v>
      </c>
      <c r="D162" s="8" t="s">
        <v>27</v>
      </c>
      <c r="E162" s="8" t="s">
        <v>48</v>
      </c>
      <c r="L162" s="8" t="s">
        <v>31</v>
      </c>
      <c r="M162" s="8" t="s">
        <v>34</v>
      </c>
      <c r="P162" s="9">
        <v>44120.0</v>
      </c>
      <c r="Q162" s="10">
        <v>0.24305555555474712</v>
      </c>
      <c r="R162" s="11" t="str">
        <f t="shared" si="1"/>
        <v>Выполнение организационных работ</v>
      </c>
      <c r="S162" s="16" t="str">
        <f>iferror(VLOOKUP(C162,'ФИО'!A:B,2,0),"учётный код не найден")</f>
        <v>Кезерев Виталий Романович</v>
      </c>
      <c r="T162" s="13" t="str">
        <f t="shared" si="2"/>
        <v/>
      </c>
      <c r="W162" s="17" t="str">
        <f t="shared" ref="W162:W163" si="19">IFERROR((((38412/(ifs(O162&lt;35,35,O162&gt;34,O162)/N162)*0.7))),"Данные не заполены")</f>
        <v>Данные не заполены</v>
      </c>
      <c r="X162" s="14" t="str">
        <f t="shared" si="14"/>
        <v>Данные не заполены</v>
      </c>
      <c r="Y162" s="15">
        <f t="shared" si="15"/>
        <v>0</v>
      </c>
    </row>
    <row r="163" hidden="1">
      <c r="A163" s="7">
        <v>44121.82004133102</v>
      </c>
      <c r="B163" s="8" t="s">
        <v>26</v>
      </c>
      <c r="C163" s="8">
        <v>20751.0</v>
      </c>
      <c r="D163" s="8" t="s">
        <v>27</v>
      </c>
      <c r="E163" s="8" t="s">
        <v>48</v>
      </c>
      <c r="L163" s="8" t="s">
        <v>31</v>
      </c>
      <c r="M163" s="8" t="s">
        <v>34</v>
      </c>
      <c r="P163" s="9">
        <v>44121.0</v>
      </c>
      <c r="Q163" s="10">
        <v>0.055555555554747116</v>
      </c>
      <c r="R163" s="11" t="str">
        <f t="shared" si="1"/>
        <v>Выполнение организационных работ</v>
      </c>
      <c r="S163" s="16" t="str">
        <f>iferror(VLOOKUP(C163,'ФИО'!A:B,2,0),"учётный код не найден")</f>
        <v>Кезерев Виталий Романович</v>
      </c>
      <c r="T163" s="13" t="str">
        <f t="shared" si="2"/>
        <v/>
      </c>
      <c r="W163" s="17" t="str">
        <f t="shared" si="19"/>
        <v>Данные не заполены</v>
      </c>
      <c r="X163" s="14" t="str">
        <f t="shared" si="14"/>
        <v>Данные не заполены</v>
      </c>
      <c r="Y163" s="15">
        <f t="shared" si="15"/>
        <v>0</v>
      </c>
    </row>
    <row r="164" hidden="1">
      <c r="A164" s="7">
        <v>44124.31217109953</v>
      </c>
      <c r="B164" s="8" t="s">
        <v>38</v>
      </c>
      <c r="C164" s="8">
        <v>20751.0</v>
      </c>
      <c r="D164" s="8" t="s">
        <v>27</v>
      </c>
      <c r="E164" s="8" t="s">
        <v>48</v>
      </c>
      <c r="L164" s="8" t="s">
        <v>31</v>
      </c>
      <c r="M164" s="8" t="s">
        <v>34</v>
      </c>
      <c r="P164" s="9">
        <v>44123.0</v>
      </c>
      <c r="Q164" s="10">
        <v>0.020833333335758653</v>
      </c>
      <c r="R164" s="11" t="str">
        <f t="shared" si="1"/>
        <v>Выполнение организационных работ</v>
      </c>
      <c r="S164" s="16" t="str">
        <f>iferror(VLOOKUP(C164,'ФИО'!A:B,2,0),"учётный код не найден")</f>
        <v>Кезерев Виталий Романович</v>
      </c>
      <c r="T164" s="13" t="str">
        <f t="shared" si="2"/>
        <v/>
      </c>
      <c r="U164" s="8">
        <v>0.0</v>
      </c>
      <c r="V164" s="8">
        <v>0.0</v>
      </c>
      <c r="X164" s="14" t="str">
        <f t="shared" si="14"/>
        <v>Данные не заполены</v>
      </c>
      <c r="Y164" s="15">
        <f t="shared" si="15"/>
        <v>0</v>
      </c>
    </row>
    <row r="165" hidden="1">
      <c r="A165" s="7">
        <v>44125.329248055554</v>
      </c>
      <c r="B165" s="8" t="s">
        <v>38</v>
      </c>
      <c r="C165" s="8">
        <v>20751.0</v>
      </c>
      <c r="D165" s="8" t="s">
        <v>27</v>
      </c>
      <c r="E165" s="8" t="s">
        <v>48</v>
      </c>
      <c r="L165" s="8" t="s">
        <v>31</v>
      </c>
      <c r="M165" s="8" t="s">
        <v>34</v>
      </c>
      <c r="P165" s="9">
        <v>44124.0</v>
      </c>
      <c r="Q165" s="10">
        <v>0.22916666666424135</v>
      </c>
      <c r="R165" s="11" t="str">
        <f t="shared" si="1"/>
        <v>Выполнение организационных работ</v>
      </c>
      <c r="S165" s="16" t="str">
        <f>iferror(VLOOKUP(C165,'ФИО'!A:B,2,0),"учётный код не найден")</f>
        <v>Кезерев Виталий Романович</v>
      </c>
      <c r="T165" s="13" t="str">
        <f t="shared" si="2"/>
        <v/>
      </c>
      <c r="X165" s="14" t="str">
        <f t="shared" si="14"/>
        <v>Данные не заполены</v>
      </c>
      <c r="Y165" s="15">
        <f t="shared" si="15"/>
        <v>0</v>
      </c>
    </row>
    <row r="166" hidden="1">
      <c r="A166" s="7">
        <v>44128.806207939815</v>
      </c>
      <c r="B166" s="8" t="s">
        <v>26</v>
      </c>
      <c r="C166" s="8">
        <v>20751.0</v>
      </c>
      <c r="D166" s="8" t="s">
        <v>27</v>
      </c>
      <c r="E166" s="8" t="s">
        <v>48</v>
      </c>
      <c r="L166" s="8" t="s">
        <v>31</v>
      </c>
      <c r="M166" s="8" t="s">
        <v>34</v>
      </c>
      <c r="P166" s="9">
        <v>44128.0</v>
      </c>
      <c r="Q166" s="10">
        <v>0.10416666666424135</v>
      </c>
      <c r="R166" s="11" t="str">
        <f t="shared" si="1"/>
        <v>Выполнение организационных работ</v>
      </c>
      <c r="S166" s="16" t="str">
        <f>iferror(VLOOKUP(C166,'ФИО'!A:B,2,0),"учётный код не найден")</f>
        <v>Кезерев Виталий Романович</v>
      </c>
      <c r="T166" s="13" t="str">
        <f t="shared" si="2"/>
        <v/>
      </c>
      <c r="X166" s="14" t="str">
        <f t="shared" si="14"/>
        <v>Данные не заполены</v>
      </c>
      <c r="Y166" s="15">
        <f t="shared" si="15"/>
        <v>0</v>
      </c>
    </row>
    <row r="167" hidden="1">
      <c r="A167" s="7">
        <v>44129.821094189814</v>
      </c>
      <c r="B167" s="8" t="s">
        <v>26</v>
      </c>
      <c r="C167" s="8">
        <v>20751.0</v>
      </c>
      <c r="D167" s="8" t="s">
        <v>27</v>
      </c>
      <c r="E167" s="8" t="s">
        <v>48</v>
      </c>
      <c r="L167" s="8" t="s">
        <v>31</v>
      </c>
      <c r="M167" s="8" t="s">
        <v>34</v>
      </c>
      <c r="P167" s="9">
        <v>44129.0</v>
      </c>
      <c r="Q167" s="10">
        <v>0.10416666666424135</v>
      </c>
      <c r="R167" s="11" t="str">
        <f t="shared" si="1"/>
        <v>Выполнение организационных работ</v>
      </c>
      <c r="S167" s="12" t="str">
        <f>iferror(VLOOKUP(C167,'ФИО'!A:B,2,0),"учётный код не найден")</f>
        <v>Кезерев Виталий Романович</v>
      </c>
      <c r="T167" s="13" t="str">
        <f t="shared" si="2"/>
        <v/>
      </c>
      <c r="X167" s="14" t="str">
        <f t="shared" si="14"/>
        <v>Данные не заполены</v>
      </c>
      <c r="Y167" s="15">
        <f t="shared" si="15"/>
        <v>0</v>
      </c>
    </row>
    <row r="168" hidden="1">
      <c r="A168" s="7">
        <v>44105.81977540509</v>
      </c>
      <c r="B168" s="8" t="s">
        <v>26</v>
      </c>
      <c r="C168" s="8">
        <v>20751.0</v>
      </c>
      <c r="D168" s="18" t="s">
        <v>27</v>
      </c>
      <c r="E168" s="8" t="s">
        <v>50</v>
      </c>
      <c r="G168" s="11"/>
      <c r="L168" s="18" t="s">
        <v>31</v>
      </c>
      <c r="M168" s="8" t="s">
        <v>34</v>
      </c>
      <c r="N168" s="8"/>
      <c r="O168" s="8"/>
      <c r="P168" s="19">
        <v>44105.0</v>
      </c>
      <c r="Q168" s="20">
        <v>0.020833333335758653</v>
      </c>
      <c r="R168" s="13" t="str">
        <f t="shared" si="1"/>
        <v>Заполнение отчёта</v>
      </c>
      <c r="S168" s="16" t="str">
        <f>iferror(VLOOKUP(C168,'ФИО'!A:B,2,0),"учётный код не найден")</f>
        <v>Кезерев Виталий Романович</v>
      </c>
      <c r="T168" s="13" t="str">
        <f t="shared" si="2"/>
        <v/>
      </c>
      <c r="W168" s="21" t="str">
        <f t="shared" ref="W168:W177" si="20">IFERROR((((38412/(ifs(O168&lt;35,35,O168&gt;34,O168)/N168)*0.7))),"Данные не заполены")</f>
        <v>Данные не заполены</v>
      </c>
      <c r="X168" s="15" t="str">
        <f t="shared" si="14"/>
        <v>Данные не заполены</v>
      </c>
      <c r="Y168" s="15">
        <f t="shared" si="15"/>
        <v>0</v>
      </c>
    </row>
    <row r="169" hidden="1">
      <c r="A169" s="7">
        <v>44108.32904899305</v>
      </c>
      <c r="B169" s="8" t="s">
        <v>38</v>
      </c>
      <c r="C169" s="8">
        <v>20751.0</v>
      </c>
      <c r="D169" s="8" t="s">
        <v>27</v>
      </c>
      <c r="E169" s="8" t="s">
        <v>50</v>
      </c>
      <c r="L169" s="8" t="s">
        <v>31</v>
      </c>
      <c r="M169" s="8" t="s">
        <v>34</v>
      </c>
      <c r="N169" s="8"/>
      <c r="O169" s="8"/>
      <c r="P169" s="9">
        <v>44107.0</v>
      </c>
      <c r="Q169" s="10">
        <v>0.020833333335758653</v>
      </c>
      <c r="R169" s="11" t="str">
        <f t="shared" si="1"/>
        <v>Заполнение отчёта</v>
      </c>
      <c r="S169" s="16" t="str">
        <f>iferror(VLOOKUP(C169,'ФИО'!A:B,2,0),"учётный код не найден")</f>
        <v>Кезерев Виталий Романович</v>
      </c>
      <c r="T169" s="13" t="str">
        <f t="shared" si="2"/>
        <v/>
      </c>
      <c r="W169" s="21" t="str">
        <f t="shared" si="20"/>
        <v>Данные не заполены</v>
      </c>
      <c r="X169" s="15" t="str">
        <f t="shared" si="14"/>
        <v>Данные не заполены</v>
      </c>
      <c r="Y169" s="15">
        <f t="shared" si="15"/>
        <v>0</v>
      </c>
    </row>
    <row r="170" hidden="1">
      <c r="A170" s="7">
        <v>44105.824731030094</v>
      </c>
      <c r="B170" s="8" t="s">
        <v>26</v>
      </c>
      <c r="C170" s="8">
        <v>22087.0</v>
      </c>
      <c r="D170" s="18" t="s">
        <v>27</v>
      </c>
      <c r="E170" s="8" t="s">
        <v>122</v>
      </c>
      <c r="G170" s="18">
        <v>3579.0</v>
      </c>
      <c r="H170" s="8" t="s">
        <v>29</v>
      </c>
      <c r="I170" s="8" t="s">
        <v>42</v>
      </c>
      <c r="L170" s="18" t="s">
        <v>31</v>
      </c>
      <c r="M170" s="8" t="s">
        <v>34</v>
      </c>
      <c r="N170" s="8"/>
      <c r="O170" s="8"/>
      <c r="P170" s="19">
        <v>44105.0</v>
      </c>
      <c r="Q170" s="20">
        <v>0.04166666666424135</v>
      </c>
      <c r="R170" s="11" t="str">
        <f t="shared" si="1"/>
        <v>Настойка первой платы на АОИ</v>
      </c>
      <c r="S170" s="16" t="str">
        <f>iferror(VLOOKUP(C170,'ФИО'!A:B,2,0),"учётный код не найден")</f>
        <v>Хохряков Илья Александрович</v>
      </c>
      <c r="T170" s="13" t="str">
        <f t="shared" si="2"/>
        <v>915-00070.A - Модуль телематики ТМ1 v3 (Сознательные машины)</v>
      </c>
      <c r="U170" s="8">
        <v>0.0</v>
      </c>
      <c r="V170" s="8">
        <v>0.0</v>
      </c>
      <c r="W170" s="21" t="str">
        <f t="shared" si="20"/>
        <v>Данные не заполены</v>
      </c>
      <c r="X170" s="15" t="str">
        <f t="shared" si="14"/>
        <v>Данные не заполены</v>
      </c>
      <c r="Y170" s="15">
        <f t="shared" si="15"/>
        <v>0</v>
      </c>
    </row>
    <row r="171" hidden="1">
      <c r="A171" s="7">
        <v>44108.31917451389</v>
      </c>
      <c r="B171" s="8" t="s">
        <v>38</v>
      </c>
      <c r="C171" s="8">
        <v>22087.0</v>
      </c>
      <c r="D171" s="8" t="s">
        <v>27</v>
      </c>
      <c r="E171" s="8" t="s">
        <v>122</v>
      </c>
      <c r="G171" s="8">
        <v>3706.0</v>
      </c>
      <c r="H171" s="8" t="s">
        <v>45</v>
      </c>
      <c r="K171" s="8" t="s">
        <v>91</v>
      </c>
      <c r="L171" s="8" t="s">
        <v>31</v>
      </c>
      <c r="M171" s="8" t="s">
        <v>34</v>
      </c>
      <c r="N171" s="8"/>
      <c r="O171" s="8"/>
      <c r="P171" s="9">
        <v>44107.0</v>
      </c>
      <c r="Q171" s="10">
        <v>0.08333333333575865</v>
      </c>
      <c r="R171" s="11" t="str">
        <f t="shared" si="1"/>
        <v>Настойка первой платы на АОИ</v>
      </c>
      <c r="S171" s="16" t="str">
        <f>iferror(VLOOKUP(C171,'ФИО'!A:B,2,0),"учётный код не найден")</f>
        <v>Хохряков Илья Александрович</v>
      </c>
      <c r="T171" s="13" t="str">
        <f t="shared" si="2"/>
        <v>ПУ Сигма 10/15 910-00080.D</v>
      </c>
      <c r="U171" s="8">
        <v>0.0</v>
      </c>
      <c r="V171" s="8">
        <v>0.0</v>
      </c>
      <c r="W171" s="21" t="str">
        <f t="shared" si="20"/>
        <v>Данные не заполены</v>
      </c>
      <c r="X171" s="15" t="str">
        <f t="shared" si="14"/>
        <v>Данные не заполены</v>
      </c>
      <c r="Y171" s="15">
        <f t="shared" si="15"/>
        <v>0</v>
      </c>
    </row>
    <row r="172" hidden="1">
      <c r="A172" s="7">
        <v>44109.328535925924</v>
      </c>
      <c r="B172" s="8" t="s">
        <v>38</v>
      </c>
      <c r="C172" s="8">
        <v>22087.0</v>
      </c>
      <c r="D172" s="8" t="s">
        <v>27</v>
      </c>
      <c r="E172" s="8" t="s">
        <v>123</v>
      </c>
      <c r="G172" s="8">
        <v>3233.0</v>
      </c>
      <c r="H172" s="8" t="s">
        <v>29</v>
      </c>
      <c r="I172" s="8" t="s">
        <v>60</v>
      </c>
      <c r="L172" s="8" t="s">
        <v>31</v>
      </c>
      <c r="M172" s="8" t="s">
        <v>34</v>
      </c>
      <c r="N172" s="8"/>
      <c r="O172" s="8"/>
      <c r="P172" s="9">
        <v>44108.0</v>
      </c>
      <c r="Q172" s="10">
        <v>0.08333333333575865</v>
      </c>
      <c r="R172" s="11" t="str">
        <f t="shared" si="1"/>
        <v>Настойка первой платы на АОИ PRI</v>
      </c>
      <c r="S172" s="16" t="str">
        <f>iferror(VLOOKUP(C172,'ФИО'!A:B,2,0),"учётный код не найден")</f>
        <v>Хохряков Илья Александрович</v>
      </c>
      <c r="T172" s="13" t="str">
        <f t="shared" si="2"/>
        <v>915-00102.A - ПБОК-2В АСЛБ.465285.013 (Квант)</v>
      </c>
      <c r="U172" s="8">
        <v>0.0</v>
      </c>
      <c r="V172" s="8">
        <v>0.0</v>
      </c>
      <c r="W172" s="21" t="str">
        <f t="shared" si="20"/>
        <v>Данные не заполены</v>
      </c>
      <c r="X172" s="15" t="str">
        <f t="shared" si="14"/>
        <v>Данные не заполены</v>
      </c>
      <c r="Y172" s="15">
        <f t="shared" si="15"/>
        <v>0</v>
      </c>
    </row>
    <row r="173" hidden="1">
      <c r="A173" s="7">
        <v>44121.82022620371</v>
      </c>
      <c r="B173" s="8" t="s">
        <v>26</v>
      </c>
      <c r="C173" s="8">
        <v>22087.0</v>
      </c>
      <c r="D173" s="8" t="s">
        <v>27</v>
      </c>
      <c r="E173" s="8" t="s">
        <v>123</v>
      </c>
      <c r="G173" s="8">
        <v>3754.0</v>
      </c>
      <c r="H173" s="8" t="s">
        <v>45</v>
      </c>
      <c r="K173" s="8" t="s">
        <v>124</v>
      </c>
      <c r="L173" s="8" t="s">
        <v>31</v>
      </c>
      <c r="M173" s="8" t="s">
        <v>34</v>
      </c>
      <c r="P173" s="9">
        <v>44121.0</v>
      </c>
      <c r="Q173" s="10">
        <v>0.04166666666424135</v>
      </c>
      <c r="R173" s="11" t="str">
        <f t="shared" si="1"/>
        <v>Настойка первой платы на АОИ PRI</v>
      </c>
      <c r="S173" s="16" t="str">
        <f>iferror(VLOOKUP(C173,'ФИО'!A:B,2,0),"учётный код не найден")</f>
        <v>Хохряков Илья Александрович</v>
      </c>
      <c r="T173" s="13" t="str">
        <f t="shared" si="2"/>
        <v>ПУ 910-00120.D - Печатный узел модуля 2CAN+LIN</v>
      </c>
      <c r="U173" s="8">
        <v>0.0</v>
      </c>
      <c r="V173" s="8">
        <v>0.0</v>
      </c>
      <c r="W173" s="17" t="str">
        <f t="shared" si="20"/>
        <v>Данные не заполены</v>
      </c>
      <c r="X173" s="14" t="str">
        <f t="shared" si="14"/>
        <v>Данные не заполены</v>
      </c>
      <c r="Y173" s="15">
        <f t="shared" si="15"/>
        <v>0</v>
      </c>
    </row>
    <row r="174" hidden="1">
      <c r="A174" s="7">
        <v>44108.32406267361</v>
      </c>
      <c r="B174" s="8" t="s">
        <v>38</v>
      </c>
      <c r="C174" s="8">
        <v>22087.0</v>
      </c>
      <c r="D174" s="8" t="s">
        <v>27</v>
      </c>
      <c r="E174" s="8" t="s">
        <v>125</v>
      </c>
      <c r="G174" s="8">
        <v>3706.0</v>
      </c>
      <c r="H174" s="8" t="s">
        <v>45</v>
      </c>
      <c r="K174" s="8" t="s">
        <v>91</v>
      </c>
      <c r="L174" s="8" t="s">
        <v>31</v>
      </c>
      <c r="M174" s="8" t="s">
        <v>34</v>
      </c>
      <c r="N174" s="8"/>
      <c r="O174" s="8"/>
      <c r="P174" s="9">
        <v>44107.0</v>
      </c>
      <c r="Q174" s="10">
        <v>0.10416666666424135</v>
      </c>
      <c r="R174" s="11" t="str">
        <f t="shared" si="1"/>
        <v>Настойка первой платы на АОИ SEC</v>
      </c>
      <c r="S174" s="16" t="str">
        <f>iferror(VLOOKUP(C174,'ФИО'!A:B,2,0),"учётный код не найден")</f>
        <v>Хохряков Илья Александрович</v>
      </c>
      <c r="T174" s="13" t="str">
        <f t="shared" si="2"/>
        <v>ПУ Сигма 10/15 910-00080.D</v>
      </c>
      <c r="U174" s="8">
        <v>0.0</v>
      </c>
      <c r="V174" s="8">
        <v>0.0</v>
      </c>
      <c r="W174" s="21" t="str">
        <f t="shared" si="20"/>
        <v>Данные не заполены</v>
      </c>
      <c r="X174" s="15" t="str">
        <f t="shared" si="14"/>
        <v>Данные не заполены</v>
      </c>
      <c r="Y174" s="15">
        <f t="shared" si="15"/>
        <v>0</v>
      </c>
    </row>
    <row r="175" hidden="1">
      <c r="A175" s="7">
        <v>44121.820894386576</v>
      </c>
      <c r="B175" s="8" t="s">
        <v>26</v>
      </c>
      <c r="C175" s="8">
        <v>22087.0</v>
      </c>
      <c r="D175" s="8" t="s">
        <v>27</v>
      </c>
      <c r="E175" s="8" t="s">
        <v>125</v>
      </c>
      <c r="G175" s="8">
        <v>3649.0</v>
      </c>
      <c r="H175" s="8" t="s">
        <v>29</v>
      </c>
      <c r="I175" s="8" t="s">
        <v>33</v>
      </c>
      <c r="L175" s="8" t="s">
        <v>31</v>
      </c>
      <c r="M175" s="8" t="s">
        <v>34</v>
      </c>
      <c r="P175" s="9">
        <v>44121.0</v>
      </c>
      <c r="Q175" s="10">
        <v>0.04166666666424135</v>
      </c>
      <c r="R175" s="11" t="str">
        <f t="shared" si="1"/>
        <v>Настойка первой платы на АОИ SEC</v>
      </c>
      <c r="S175" s="16" t="str">
        <f>iferror(VLOOKUP(C175,'ФИО'!A:B,2,0),"учётный код не найден")</f>
        <v>Хохряков Илья Александрович</v>
      </c>
      <c r="T175" s="13" t="str">
        <f t="shared" si="2"/>
        <v>ssfp2.2 (Метротек)</v>
      </c>
      <c r="U175" s="8">
        <v>0.0</v>
      </c>
      <c r="V175" s="8">
        <v>0.0</v>
      </c>
      <c r="W175" s="17" t="str">
        <f t="shared" si="20"/>
        <v>Данные не заполены</v>
      </c>
      <c r="X175" s="14" t="str">
        <f t="shared" si="14"/>
        <v>Данные не заполены</v>
      </c>
      <c r="Y175" s="15">
        <f t="shared" si="15"/>
        <v>0</v>
      </c>
    </row>
    <row r="176" hidden="1">
      <c r="A176" s="7">
        <v>44108.84865134259</v>
      </c>
      <c r="B176" s="8" t="s">
        <v>38</v>
      </c>
      <c r="C176" s="8">
        <v>20751.0</v>
      </c>
      <c r="D176" s="8" t="s">
        <v>27</v>
      </c>
      <c r="E176" s="8" t="s">
        <v>67</v>
      </c>
      <c r="G176" s="8">
        <v>3706.0</v>
      </c>
      <c r="H176" s="8" t="s">
        <v>45</v>
      </c>
      <c r="K176" s="8" t="s">
        <v>91</v>
      </c>
      <c r="L176" s="8" t="s">
        <v>37</v>
      </c>
      <c r="P176" s="9">
        <v>44107.0</v>
      </c>
      <c r="Q176" s="10">
        <v>0.08333333333333333</v>
      </c>
      <c r="R176" s="11" t="str">
        <f t="shared" si="1"/>
        <v>Сборка на линии Prim</v>
      </c>
      <c r="S176" s="22" t="s">
        <v>27</v>
      </c>
      <c r="T176" s="13" t="str">
        <f t="shared" si="2"/>
        <v>ПУ Сигма 10/15 910-00080.D</v>
      </c>
      <c r="U176" s="8">
        <v>512.0</v>
      </c>
      <c r="V176" s="8">
        <v>0.0</v>
      </c>
      <c r="W176" s="21" t="str">
        <f t="shared" si="20"/>
        <v>Данные не заполены</v>
      </c>
      <c r="X176" s="15" t="str">
        <f t="shared" si="14"/>
        <v>Данные не заполены</v>
      </c>
      <c r="Y176" s="15">
        <f t="shared" si="15"/>
        <v>0</v>
      </c>
    </row>
    <row r="177" hidden="1">
      <c r="A177" s="7">
        <v>44108.861370150466</v>
      </c>
      <c r="B177" s="8" t="s">
        <v>38</v>
      </c>
      <c r="C177" s="8">
        <v>20751.0</v>
      </c>
      <c r="D177" s="8" t="s">
        <v>27</v>
      </c>
      <c r="E177" s="8" t="s">
        <v>88</v>
      </c>
      <c r="G177" s="8">
        <v>3706.0</v>
      </c>
      <c r="H177" s="8" t="s">
        <v>45</v>
      </c>
      <c r="K177" s="8" t="s">
        <v>91</v>
      </c>
      <c r="L177" s="8" t="s">
        <v>37</v>
      </c>
      <c r="P177" s="9">
        <v>44107.0</v>
      </c>
      <c r="Q177" s="10">
        <v>0.0</v>
      </c>
      <c r="R177" s="11" t="str">
        <f t="shared" si="1"/>
        <v>Сборка на линии Sec</v>
      </c>
      <c r="S177" s="22" t="s">
        <v>27</v>
      </c>
      <c r="T177" s="13" t="str">
        <f t="shared" si="2"/>
        <v>ПУ Сигма 10/15 910-00080.D</v>
      </c>
      <c r="U177" s="8">
        <v>64.0</v>
      </c>
      <c r="V177" s="8">
        <v>0.0</v>
      </c>
      <c r="W177" s="21" t="str">
        <f t="shared" si="20"/>
        <v>Данные не заполены</v>
      </c>
      <c r="X177" s="15" t="str">
        <f t="shared" si="14"/>
        <v>Данные не заполены</v>
      </c>
      <c r="Y177" s="15">
        <f t="shared" si="15"/>
        <v>0</v>
      </c>
    </row>
    <row r="178" hidden="1">
      <c r="A178" s="7">
        <v>44120.314001527775</v>
      </c>
      <c r="B178" s="8" t="s">
        <v>126</v>
      </c>
      <c r="C178" s="8">
        <v>22574.0</v>
      </c>
      <c r="D178" s="8" t="s">
        <v>27</v>
      </c>
      <c r="E178" s="8" t="s">
        <v>47</v>
      </c>
      <c r="G178" s="8">
        <v>3252.0</v>
      </c>
      <c r="H178" s="8" t="s">
        <v>29</v>
      </c>
      <c r="I178" s="8" t="s">
        <v>96</v>
      </c>
      <c r="L178" s="8" t="s">
        <v>31</v>
      </c>
      <c r="M178" s="8" t="s">
        <v>34</v>
      </c>
      <c r="P178" s="9">
        <v>44119.0</v>
      </c>
      <c r="Q178" s="10">
        <v>0.020833333335758653</v>
      </c>
      <c r="R178" s="11" t="str">
        <f t="shared" si="1"/>
        <v>Верификация компонентов на линию</v>
      </c>
      <c r="S178" s="16" t="str">
        <f>iferror(VLOOKUP(C178,'ФИО'!A:B,2,0),"учётный код не найден")</f>
        <v>Шапенков Геннадий Михайлович</v>
      </c>
      <c r="T178" s="13" t="str">
        <f t="shared" si="2"/>
        <v>915-00096.A - ПКД-8В-2 АСЛБ.467249.109</v>
      </c>
      <c r="U178" s="8">
        <v>0.0</v>
      </c>
      <c r="V178" s="8">
        <v>0.0</v>
      </c>
    </row>
    <row r="179" hidden="1">
      <c r="A179" s="7">
        <v>44109.95085443287</v>
      </c>
      <c r="B179" s="8" t="s">
        <v>127</v>
      </c>
      <c r="C179" s="8">
        <v>60000.0</v>
      </c>
      <c r="D179" s="8" t="s">
        <v>69</v>
      </c>
      <c r="F179" s="8" t="s">
        <v>72</v>
      </c>
      <c r="G179" s="8">
        <v>3579.0</v>
      </c>
      <c r="H179" s="8" t="s">
        <v>29</v>
      </c>
      <c r="I179" s="8" t="s">
        <v>42</v>
      </c>
      <c r="L179" s="8" t="s">
        <v>37</v>
      </c>
      <c r="P179" s="9">
        <v>44108.0</v>
      </c>
      <c r="Q179" s="10">
        <v>0.04166666666424135</v>
      </c>
      <c r="R179" s="11" t="str">
        <f t="shared" si="1"/>
        <v>Пайка компонентов PRI</v>
      </c>
      <c r="S179" s="12" t="str">
        <f>iferror(VLOOKUP(C179,'ФИО'!A:B,2,0),"учётный код не найден")</f>
        <v>THT</v>
      </c>
      <c r="T179" s="11" t="str">
        <f t="shared" si="2"/>
        <v>915-00070.A - Модуль телематики ТМ1 v3 (Сознательные машины)</v>
      </c>
      <c r="U179" s="8">
        <v>30.0</v>
      </c>
      <c r="V179" s="8">
        <v>0.0</v>
      </c>
      <c r="W179" s="21" t="str">
        <f t="shared" ref="W179:W190" si="21">IFERROR((((38412/(ifs(O179&lt;35,35,O179&gt;34,O179)/N179)*0.7))),"Данные не заполены")</f>
        <v>Данные не заполены</v>
      </c>
      <c r="X179" s="15" t="str">
        <f t="shared" ref="X179:X238" si="22">IFERROR((((V179+U179)/Q179)/24)/(W179/11),"Данные не заполены")</f>
        <v>Данные не заполены</v>
      </c>
      <c r="Y179" s="15">
        <f t="shared" ref="Y179:Y238" si="23">iferror((V179/if(U179=0,1,U179)),0)</f>
        <v>0</v>
      </c>
    </row>
    <row r="180" hidden="1">
      <c r="A180" s="7">
        <v>44109.924174224536</v>
      </c>
      <c r="B180" s="8" t="s">
        <v>127</v>
      </c>
      <c r="C180" s="8">
        <v>60000.0</v>
      </c>
      <c r="D180" s="8" t="s">
        <v>69</v>
      </c>
      <c r="F180" s="8" t="s">
        <v>72</v>
      </c>
      <c r="G180" s="8">
        <v>3232.0</v>
      </c>
      <c r="H180" s="8" t="s">
        <v>29</v>
      </c>
      <c r="I180" s="8" t="s">
        <v>63</v>
      </c>
      <c r="L180" s="8" t="s">
        <v>31</v>
      </c>
      <c r="M180" s="8" t="s">
        <v>128</v>
      </c>
      <c r="N180" s="8"/>
      <c r="O180" s="8"/>
      <c r="P180" s="9">
        <v>44109.0</v>
      </c>
      <c r="Q180" s="10">
        <v>0.041666666666666664</v>
      </c>
      <c r="R180" s="11" t="str">
        <f t="shared" si="1"/>
        <v>Пайка компонентов PRI</v>
      </c>
      <c r="S180" s="12" t="str">
        <f>iferror(VLOOKUP(C180,'ФИО'!A:B,2,0),"учётный код не найден")</f>
        <v>THT</v>
      </c>
      <c r="T180" s="11" t="str">
        <f t="shared" si="2"/>
        <v>915-00103.A - ПБОК-1В АСЛБ.465285.012 (Квант)</v>
      </c>
      <c r="U180" s="8">
        <v>29.0</v>
      </c>
      <c r="V180" s="8">
        <v>0.0</v>
      </c>
      <c r="W180" s="21" t="str">
        <f t="shared" si="21"/>
        <v>Данные не заполены</v>
      </c>
      <c r="X180" s="15" t="str">
        <f t="shared" si="22"/>
        <v>Данные не заполены</v>
      </c>
      <c r="Y180" s="15">
        <f t="shared" si="23"/>
        <v>0</v>
      </c>
    </row>
    <row r="181" hidden="1">
      <c r="A181" s="7">
        <v>44121.33134815972</v>
      </c>
      <c r="B181" s="8" t="s">
        <v>126</v>
      </c>
      <c r="C181" s="8">
        <v>21927.0</v>
      </c>
      <c r="D181" s="8" t="s">
        <v>27</v>
      </c>
      <c r="E181" s="8" t="s">
        <v>51</v>
      </c>
      <c r="G181" s="8">
        <v>3750.0</v>
      </c>
      <c r="H181" s="8" t="s">
        <v>45</v>
      </c>
      <c r="K181" s="8" t="s">
        <v>46</v>
      </c>
      <c r="L181" s="8" t="s">
        <v>37</v>
      </c>
      <c r="P181" s="9">
        <v>44120.0</v>
      </c>
      <c r="Q181" s="10">
        <v>0.16666666666424135</v>
      </c>
      <c r="R181" s="11" t="str">
        <f t="shared" si="1"/>
        <v>Внутрисхемное тестирование ICT</v>
      </c>
      <c r="S181" s="16" t="str">
        <f>iferror(VLOOKUP(C181,'ФИО'!A:B,2,0),"учётный код не найден")</f>
        <v>Шергин Родион Олегович</v>
      </c>
      <c r="T181" s="13" t="str">
        <f t="shared" si="2"/>
        <v>ПУ 910-00349.A "Печатный узел основного блока E96 4LIN"</v>
      </c>
      <c r="U181" s="8">
        <v>116.0</v>
      </c>
      <c r="V181" s="8">
        <v>0.0</v>
      </c>
      <c r="W181" s="17" t="str">
        <f t="shared" si="21"/>
        <v>Данные не заполены</v>
      </c>
      <c r="X181" s="14" t="str">
        <f t="shared" si="22"/>
        <v>Данные не заполены</v>
      </c>
      <c r="Y181" s="15">
        <f t="shared" si="23"/>
        <v>0</v>
      </c>
    </row>
    <row r="182" hidden="1">
      <c r="A182" s="7">
        <v>44129.329511909724</v>
      </c>
      <c r="B182" s="8" t="s">
        <v>126</v>
      </c>
      <c r="C182" s="8">
        <v>21927.0</v>
      </c>
      <c r="D182" s="8" t="s">
        <v>27</v>
      </c>
      <c r="E182" s="8" t="s">
        <v>51</v>
      </c>
      <c r="G182" s="8">
        <v>3804.0</v>
      </c>
      <c r="H182" s="8" t="s">
        <v>45</v>
      </c>
      <c r="K182" s="8" t="s">
        <v>52</v>
      </c>
      <c r="L182" s="8" t="s">
        <v>31</v>
      </c>
      <c r="M182" s="8" t="s">
        <v>129</v>
      </c>
      <c r="P182" s="9">
        <v>44128.0</v>
      </c>
      <c r="Q182" s="10">
        <v>0.020833333335758653</v>
      </c>
      <c r="R182" s="11" t="str">
        <f t="shared" si="1"/>
        <v>Внутрисхемное тестирование ICT</v>
      </c>
      <c r="S182" s="12" t="str">
        <f>iferror(VLOOKUP(C182,'ФИО'!A:B,2,0),"учётный код не найден")</f>
        <v>Шергин Родион Олегович</v>
      </c>
      <c r="T182" s="13" t="str">
        <f t="shared" si="2"/>
        <v>М17V2 (900-00018.D)_910-00023.H и ПУ 910-00012.I</v>
      </c>
      <c r="U182" s="8">
        <v>0.0</v>
      </c>
      <c r="V182" s="8">
        <v>0.0</v>
      </c>
      <c r="W182" s="17" t="str">
        <f t="shared" si="21"/>
        <v>Данные не заполены</v>
      </c>
      <c r="X182" s="14" t="str">
        <f t="shared" si="22"/>
        <v>Данные не заполены</v>
      </c>
      <c r="Y182" s="15">
        <f t="shared" si="23"/>
        <v>0</v>
      </c>
    </row>
    <row r="183">
      <c r="A183" s="7">
        <v>44117.675239965276</v>
      </c>
      <c r="B183" s="8" t="s">
        <v>127</v>
      </c>
      <c r="C183" s="8">
        <v>60000.0</v>
      </c>
      <c r="D183" s="8" t="s">
        <v>69</v>
      </c>
      <c r="F183" s="8" t="s">
        <v>72</v>
      </c>
      <c r="G183" s="8">
        <v>3750.0</v>
      </c>
      <c r="H183" s="8" t="s">
        <v>45</v>
      </c>
      <c r="K183" s="8" t="s">
        <v>46</v>
      </c>
      <c r="L183" s="8" t="s">
        <v>37</v>
      </c>
      <c r="P183" s="9">
        <v>44116.0</v>
      </c>
      <c r="Q183" s="10">
        <v>0.25</v>
      </c>
      <c r="R183" s="11" t="str">
        <f t="shared" si="1"/>
        <v>Пайка компонентов PRI</v>
      </c>
      <c r="S183" s="12" t="str">
        <f>iferror(VLOOKUP(C183,'ФИО'!A:B,2,0),"учётный код не найден")</f>
        <v>THT</v>
      </c>
      <c r="T183" s="11" t="str">
        <f t="shared" si="2"/>
        <v>ПУ 910-00349.A "Печатный узел основного блока E96 4LIN"</v>
      </c>
      <c r="U183" s="8">
        <v>472.0</v>
      </c>
      <c r="V183" s="8">
        <v>0.0</v>
      </c>
      <c r="W183" s="17" t="str">
        <f t="shared" si="21"/>
        <v>Данные не заполены</v>
      </c>
      <c r="X183" s="14" t="str">
        <f t="shared" si="22"/>
        <v>Данные не заполены</v>
      </c>
      <c r="Y183" s="15">
        <f t="shared" si="23"/>
        <v>0</v>
      </c>
      <c r="Z183" s="8" t="s">
        <v>130</v>
      </c>
    </row>
    <row r="184" hidden="1">
      <c r="A184" s="7">
        <v>44109.32544399306</v>
      </c>
      <c r="B184" s="8" t="s">
        <v>38</v>
      </c>
      <c r="C184" s="8">
        <v>60000.0</v>
      </c>
      <c r="D184" s="8" t="s">
        <v>69</v>
      </c>
      <c r="F184" s="8" t="s">
        <v>72</v>
      </c>
      <c r="G184" s="8">
        <v>3579.0</v>
      </c>
      <c r="H184" s="8" t="s">
        <v>29</v>
      </c>
      <c r="I184" s="8" t="s">
        <v>42</v>
      </c>
      <c r="L184" s="8" t="s">
        <v>37</v>
      </c>
      <c r="P184" s="9">
        <v>44108.0</v>
      </c>
      <c r="Q184" s="10">
        <v>0.08333333333575865</v>
      </c>
      <c r="R184" s="11" t="str">
        <f t="shared" si="1"/>
        <v>Пайка компонентов PRI</v>
      </c>
      <c r="S184" s="12" t="str">
        <f>iferror(VLOOKUP(C184,'ФИО'!A:B,2,0),"учётный код не найден")</f>
        <v>THT</v>
      </c>
      <c r="T184" s="13" t="str">
        <f t="shared" si="2"/>
        <v>915-00070.A - Модуль телематики ТМ1 v3 (Сознательные машины)</v>
      </c>
      <c r="U184" s="8">
        <v>45.0</v>
      </c>
      <c r="V184" s="8">
        <v>0.0</v>
      </c>
      <c r="W184" s="21" t="str">
        <f t="shared" si="21"/>
        <v>Данные не заполены</v>
      </c>
      <c r="X184" s="15" t="str">
        <f t="shared" si="22"/>
        <v>Данные не заполены</v>
      </c>
      <c r="Y184" s="15">
        <f t="shared" si="23"/>
        <v>0</v>
      </c>
      <c r="Z184" s="8" t="s">
        <v>131</v>
      </c>
    </row>
    <row r="185" hidden="1">
      <c r="A185" s="7">
        <v>44109.32546108797</v>
      </c>
      <c r="B185" s="8" t="s">
        <v>38</v>
      </c>
      <c r="C185" s="8">
        <v>60000.0</v>
      </c>
      <c r="D185" s="8" t="s">
        <v>69</v>
      </c>
      <c r="F185" s="8" t="s">
        <v>80</v>
      </c>
      <c r="G185" s="8">
        <v>3047.0</v>
      </c>
      <c r="H185" s="8" t="s">
        <v>29</v>
      </c>
      <c r="I185" s="8" t="s">
        <v>77</v>
      </c>
      <c r="L185" s="8" t="s">
        <v>37</v>
      </c>
      <c r="P185" s="9">
        <v>44108.0</v>
      </c>
      <c r="Q185" s="10">
        <v>0.20833333333575865</v>
      </c>
      <c r="R185" s="11" t="str">
        <f t="shared" si="1"/>
        <v>Пайка компонентов SEC</v>
      </c>
      <c r="S185" s="12" t="str">
        <f>iferror(VLOOKUP(C185,'ФИО'!A:B,2,0),"учётный код не найден")</f>
        <v>THT</v>
      </c>
      <c r="T185" s="13" t="str">
        <f t="shared" si="2"/>
        <v>915-00081.A-Модуль Трик8 (Кибертех)</v>
      </c>
      <c r="U185" s="8">
        <v>72.0</v>
      </c>
      <c r="V185" s="8">
        <v>0.0</v>
      </c>
      <c r="W185" s="21" t="str">
        <f t="shared" si="21"/>
        <v>Данные не заполены</v>
      </c>
      <c r="X185" s="15" t="str">
        <f t="shared" si="22"/>
        <v>Данные не заполены</v>
      </c>
      <c r="Y185" s="15">
        <f t="shared" si="23"/>
        <v>0</v>
      </c>
      <c r="Z185" s="25" t="s">
        <v>132</v>
      </c>
    </row>
    <row r="186" hidden="1">
      <c r="A186" s="7">
        <v>44108.32366685185</v>
      </c>
      <c r="B186" s="8" t="s">
        <v>38</v>
      </c>
      <c r="C186" s="8">
        <v>60000.0</v>
      </c>
      <c r="D186" s="8" t="s">
        <v>69</v>
      </c>
      <c r="F186" s="8" t="s">
        <v>80</v>
      </c>
      <c r="G186" s="8">
        <v>3047.0</v>
      </c>
      <c r="H186" s="8" t="s">
        <v>29</v>
      </c>
      <c r="I186" s="8" t="s">
        <v>77</v>
      </c>
      <c r="L186" s="8" t="s">
        <v>37</v>
      </c>
      <c r="P186" s="9">
        <v>44107.0</v>
      </c>
      <c r="Q186" s="10">
        <v>0.125</v>
      </c>
      <c r="R186" s="11" t="str">
        <f t="shared" si="1"/>
        <v>Пайка компонентов SEC</v>
      </c>
      <c r="S186" s="12" t="str">
        <f>iferror(VLOOKUP(C186,'ФИО'!A:B,2,0),"учётный код не найден")</f>
        <v>THT</v>
      </c>
      <c r="T186" s="13" t="str">
        <f t="shared" si="2"/>
        <v>915-00081.A-Модуль Трик8 (Кибертех)</v>
      </c>
      <c r="U186" s="8">
        <v>42.0</v>
      </c>
      <c r="V186" s="8">
        <v>0.0</v>
      </c>
      <c r="W186" s="21" t="str">
        <f t="shared" si="21"/>
        <v>Данные не заполены</v>
      </c>
      <c r="X186" s="15" t="str">
        <f t="shared" si="22"/>
        <v>Данные не заполены</v>
      </c>
      <c r="Y186" s="15">
        <f t="shared" si="23"/>
        <v>0</v>
      </c>
      <c r="Z186" s="25" t="s">
        <v>133</v>
      </c>
    </row>
    <row r="187" hidden="1">
      <c r="A187" s="7">
        <v>44108.32368179398</v>
      </c>
      <c r="B187" s="8" t="s">
        <v>38</v>
      </c>
      <c r="C187" s="8">
        <v>60000.0</v>
      </c>
      <c r="D187" s="8" t="s">
        <v>69</v>
      </c>
      <c r="F187" s="8" t="s">
        <v>72</v>
      </c>
      <c r="G187" s="8">
        <v>3579.0</v>
      </c>
      <c r="H187" s="8" t="s">
        <v>29</v>
      </c>
      <c r="I187" s="8" t="s">
        <v>42</v>
      </c>
      <c r="L187" s="8" t="s">
        <v>37</v>
      </c>
      <c r="P187" s="9">
        <v>44107.0</v>
      </c>
      <c r="Q187" s="10">
        <v>0.16666666666424135</v>
      </c>
      <c r="R187" s="11" t="str">
        <f t="shared" si="1"/>
        <v>Пайка компонентов PRI</v>
      </c>
      <c r="S187" s="12" t="str">
        <f>iferror(VLOOKUP(C187,'ФИО'!A:B,2,0),"учётный код не найден")</f>
        <v>THT</v>
      </c>
      <c r="T187" s="13" t="str">
        <f t="shared" si="2"/>
        <v>915-00070.A - Модуль телематики ТМ1 v3 (Сознательные машины)</v>
      </c>
      <c r="U187" s="8">
        <v>54.0</v>
      </c>
      <c r="V187" s="8">
        <v>0.0</v>
      </c>
      <c r="W187" s="21" t="str">
        <f t="shared" si="21"/>
        <v>Данные не заполены</v>
      </c>
      <c r="X187" s="15" t="str">
        <f t="shared" si="22"/>
        <v>Данные не заполены</v>
      </c>
      <c r="Y187" s="15">
        <f t="shared" si="23"/>
        <v>0</v>
      </c>
      <c r="Z187" s="25" t="s">
        <v>134</v>
      </c>
    </row>
    <row r="188" hidden="1">
      <c r="A188" s="7">
        <v>44117.8264125</v>
      </c>
      <c r="B188" s="8" t="s">
        <v>127</v>
      </c>
      <c r="C188" s="8">
        <v>60000.0</v>
      </c>
      <c r="D188" s="8" t="s">
        <v>69</v>
      </c>
      <c r="F188" s="8" t="s">
        <v>72</v>
      </c>
      <c r="G188" s="8">
        <v>3234.0</v>
      </c>
      <c r="H188" s="8" t="s">
        <v>29</v>
      </c>
      <c r="I188" s="8" t="s">
        <v>135</v>
      </c>
      <c r="L188" s="8" t="s">
        <v>37</v>
      </c>
      <c r="P188" s="9">
        <v>44117.0</v>
      </c>
      <c r="Q188" s="10">
        <v>0.0625</v>
      </c>
      <c r="R188" s="11" t="str">
        <f t="shared" si="1"/>
        <v>Пайка компонентов PRI</v>
      </c>
      <c r="S188" s="12" t="str">
        <f>iferror(VLOOKUP(C188,'ФИО'!A:B,2,0),"учётный код не найден")</f>
        <v>THT</v>
      </c>
      <c r="T188" s="11" t="str">
        <f t="shared" si="2"/>
        <v>915-00101.A - ПКД-9В АСЛБ.467249.107 (Квант)</v>
      </c>
      <c r="U188" s="8">
        <v>45.0</v>
      </c>
      <c r="V188" s="8">
        <v>0.0</v>
      </c>
      <c r="W188" s="17" t="str">
        <f t="shared" si="21"/>
        <v>Данные не заполены</v>
      </c>
      <c r="X188" s="14" t="str">
        <f t="shared" si="22"/>
        <v>Данные не заполены</v>
      </c>
      <c r="Y188" s="15">
        <f t="shared" si="23"/>
        <v>0</v>
      </c>
    </row>
    <row r="189" hidden="1">
      <c r="A189" s="7">
        <v>44109.31026061343</v>
      </c>
      <c r="B189" s="8" t="s">
        <v>38</v>
      </c>
      <c r="C189" s="8">
        <v>20751.0</v>
      </c>
      <c r="D189" s="8" t="s">
        <v>27</v>
      </c>
      <c r="E189" s="8" t="s">
        <v>67</v>
      </c>
      <c r="G189" s="8">
        <v>3233.0</v>
      </c>
      <c r="H189" s="8" t="s">
        <v>29</v>
      </c>
      <c r="I189" s="8" t="s">
        <v>60</v>
      </c>
      <c r="L189" s="8" t="s">
        <v>37</v>
      </c>
      <c r="P189" s="9">
        <v>44108.0</v>
      </c>
      <c r="Q189" s="10">
        <v>0.12847222221898846</v>
      </c>
      <c r="R189" s="11" t="str">
        <f t="shared" si="1"/>
        <v>Сборка на линии Prim</v>
      </c>
      <c r="S189" s="22" t="s">
        <v>27</v>
      </c>
      <c r="T189" s="13" t="str">
        <f t="shared" si="2"/>
        <v>915-00102.A - ПБОК-2В АСЛБ.465285.013 (Квант)</v>
      </c>
      <c r="U189" s="8">
        <v>47.0</v>
      </c>
      <c r="V189" s="8">
        <v>0.0</v>
      </c>
      <c r="W189" s="21" t="str">
        <f t="shared" si="21"/>
        <v>Данные не заполены</v>
      </c>
      <c r="X189" s="15" t="str">
        <f t="shared" si="22"/>
        <v>Данные не заполены</v>
      </c>
      <c r="Y189" s="15">
        <f t="shared" si="23"/>
        <v>0</v>
      </c>
      <c r="Z189" s="25" t="s">
        <v>136</v>
      </c>
    </row>
    <row r="190" hidden="1">
      <c r="A190" s="7">
        <v>44109.310855902775</v>
      </c>
      <c r="B190" s="8" t="s">
        <v>38</v>
      </c>
      <c r="C190" s="8">
        <v>20751.0</v>
      </c>
      <c r="D190" s="8" t="s">
        <v>27</v>
      </c>
      <c r="E190" s="8" t="s">
        <v>67</v>
      </c>
      <c r="G190" s="8">
        <v>3726.0</v>
      </c>
      <c r="H190" s="8" t="s">
        <v>45</v>
      </c>
      <c r="K190" s="8" t="s">
        <v>58</v>
      </c>
      <c r="L190" s="8" t="s">
        <v>37</v>
      </c>
      <c r="P190" s="9">
        <v>44108.0</v>
      </c>
      <c r="Q190" s="10">
        <v>0.027777777777777776</v>
      </c>
      <c r="R190" s="11" t="str">
        <f t="shared" si="1"/>
        <v>Сборка на линии Prim</v>
      </c>
      <c r="S190" s="22" t="s">
        <v>27</v>
      </c>
      <c r="T190" s="13" t="str">
        <f t="shared" si="2"/>
        <v>ПУ метки i95</v>
      </c>
      <c r="U190" s="8">
        <v>671.0</v>
      </c>
      <c r="V190" s="8">
        <v>0.0</v>
      </c>
      <c r="W190" s="21" t="str">
        <f t="shared" si="21"/>
        <v>Данные не заполены</v>
      </c>
      <c r="X190" s="15" t="str">
        <f t="shared" si="22"/>
        <v>Данные не заполены</v>
      </c>
      <c r="Y190" s="15">
        <f t="shared" si="23"/>
        <v>0</v>
      </c>
      <c r="Z190" s="25" t="s">
        <v>137</v>
      </c>
    </row>
    <row r="191" hidden="1">
      <c r="A191" s="7">
        <v>44125.322701365745</v>
      </c>
      <c r="B191" s="8" t="s">
        <v>38</v>
      </c>
      <c r="C191" s="8">
        <v>22087.0</v>
      </c>
      <c r="D191" s="8" t="s">
        <v>27</v>
      </c>
      <c r="E191" s="8" t="s">
        <v>57</v>
      </c>
      <c r="G191" s="8">
        <v>3253.0</v>
      </c>
      <c r="H191" s="8" t="s">
        <v>29</v>
      </c>
      <c r="I191" s="8" t="s">
        <v>95</v>
      </c>
      <c r="L191" s="8" t="s">
        <v>31</v>
      </c>
      <c r="M191" s="8" t="s">
        <v>34</v>
      </c>
      <c r="P191" s="9">
        <v>44124.0</v>
      </c>
      <c r="Q191" s="10">
        <v>0.020833333335758653</v>
      </c>
      <c r="R191" s="11" t="str">
        <f t="shared" si="1"/>
        <v>Настройка линии Primary</v>
      </c>
      <c r="S191" s="16" t="str">
        <f>iferror(VLOOKUP(C191,'ФИО'!A:B,2,0),"учётный код не найден")</f>
        <v>Хохряков Илья Александрович</v>
      </c>
      <c r="T191" s="13" t="str">
        <f t="shared" si="2"/>
        <v>915-00095.A - ПКД-8В-1 АСЛБ.467249.108 (Квант)</v>
      </c>
      <c r="U191" s="8">
        <v>0.0</v>
      </c>
      <c r="V191" s="8">
        <v>0.0</v>
      </c>
      <c r="X191" s="14" t="str">
        <f t="shared" si="22"/>
        <v>Данные не заполены</v>
      </c>
      <c r="Y191" s="15">
        <f t="shared" si="23"/>
        <v>0</v>
      </c>
    </row>
    <row r="192" hidden="1">
      <c r="A192" s="7">
        <v>44125.32343318287</v>
      </c>
      <c r="B192" s="8" t="s">
        <v>38</v>
      </c>
      <c r="C192" s="8">
        <v>22087.0</v>
      </c>
      <c r="D192" s="8" t="s">
        <v>27</v>
      </c>
      <c r="E192" s="8" t="s">
        <v>138</v>
      </c>
      <c r="G192" s="8">
        <v>3253.0</v>
      </c>
      <c r="H192" s="8" t="s">
        <v>29</v>
      </c>
      <c r="I192" s="8" t="s">
        <v>95</v>
      </c>
      <c r="L192" s="8" t="s">
        <v>31</v>
      </c>
      <c r="M192" s="8" t="s">
        <v>34</v>
      </c>
      <c r="P192" s="9">
        <v>44124.0</v>
      </c>
      <c r="Q192" s="10">
        <v>0.020833333335758653</v>
      </c>
      <c r="R192" s="11" t="str">
        <f t="shared" si="1"/>
        <v>Настройка принтера Pri</v>
      </c>
      <c r="S192" s="16" t="str">
        <f>iferror(VLOOKUP(C192,'ФИО'!A:B,2,0),"учётный код не найден")</f>
        <v>Хохряков Илья Александрович</v>
      </c>
      <c r="T192" s="13" t="str">
        <f t="shared" si="2"/>
        <v>915-00095.A - ПКД-8В-1 АСЛБ.467249.108 (Квант)</v>
      </c>
      <c r="U192" s="8">
        <v>0.0</v>
      </c>
      <c r="V192" s="8">
        <v>0.0</v>
      </c>
      <c r="X192" s="14" t="str">
        <f t="shared" si="22"/>
        <v>Данные не заполены</v>
      </c>
      <c r="Y192" s="15">
        <f t="shared" si="23"/>
        <v>0</v>
      </c>
    </row>
    <row r="193" hidden="1">
      <c r="A193" s="7">
        <v>44125.321052037034</v>
      </c>
      <c r="B193" s="8" t="s">
        <v>38</v>
      </c>
      <c r="C193" s="8">
        <v>22087.0</v>
      </c>
      <c r="D193" s="8" t="s">
        <v>27</v>
      </c>
      <c r="E193" s="8" t="s">
        <v>84</v>
      </c>
      <c r="G193" s="8">
        <v>3804.0</v>
      </c>
      <c r="H193" s="8" t="s">
        <v>45</v>
      </c>
      <c r="K193" s="8" t="s">
        <v>52</v>
      </c>
      <c r="L193" s="8" t="s">
        <v>31</v>
      </c>
      <c r="M193" s="8" t="s">
        <v>34</v>
      </c>
      <c r="P193" s="9">
        <v>44124.0</v>
      </c>
      <c r="Q193" s="10">
        <v>0.04166666666424135</v>
      </c>
      <c r="R193" s="11" t="str">
        <f t="shared" si="1"/>
        <v>Настройка принтера Sec</v>
      </c>
      <c r="S193" s="16" t="str">
        <f>iferror(VLOOKUP(C193,'ФИО'!A:B,2,0),"учётный код не найден")</f>
        <v>Хохряков Илья Александрович</v>
      </c>
      <c r="T193" s="13" t="str">
        <f t="shared" si="2"/>
        <v>М17V2 (900-00018.D)_910-00023.H и ПУ 910-00012.I</v>
      </c>
      <c r="U193" s="8">
        <v>0.0</v>
      </c>
      <c r="V193" s="8">
        <v>0.0</v>
      </c>
      <c r="X193" s="14" t="str">
        <f t="shared" si="22"/>
        <v>Данные не заполены</v>
      </c>
      <c r="Y193" s="15">
        <f t="shared" si="23"/>
        <v>0</v>
      </c>
    </row>
    <row r="194" hidden="1">
      <c r="A194" s="7">
        <v>44125.3240769213</v>
      </c>
      <c r="B194" s="8" t="s">
        <v>38</v>
      </c>
      <c r="C194" s="8">
        <v>22087.0</v>
      </c>
      <c r="D194" s="8" t="s">
        <v>27</v>
      </c>
      <c r="E194" s="8" t="s">
        <v>82</v>
      </c>
      <c r="G194" s="8">
        <v>3253.0</v>
      </c>
      <c r="H194" s="8" t="s">
        <v>29</v>
      </c>
      <c r="I194" s="8" t="s">
        <v>95</v>
      </c>
      <c r="L194" s="8" t="s">
        <v>31</v>
      </c>
      <c r="M194" s="8" t="s">
        <v>34</v>
      </c>
      <c r="P194" s="9">
        <v>44124.0</v>
      </c>
      <c r="Q194" s="10">
        <v>0.010416666664241347</v>
      </c>
      <c r="R194" s="11" t="str">
        <f t="shared" si="1"/>
        <v>Настройка установщиков</v>
      </c>
      <c r="S194" s="16" t="str">
        <f>iferror(VLOOKUP(C194,'ФИО'!A:B,2,0),"учётный код не найден")</f>
        <v>Хохряков Илья Александрович</v>
      </c>
      <c r="T194" s="13" t="str">
        <f t="shared" si="2"/>
        <v>915-00095.A - ПКД-8В-1 АСЛБ.467249.108 (Квант)</v>
      </c>
      <c r="U194" s="8">
        <v>0.0</v>
      </c>
      <c r="V194" s="8">
        <v>0.0</v>
      </c>
      <c r="X194" s="14" t="str">
        <f t="shared" si="22"/>
        <v>Данные не заполены</v>
      </c>
      <c r="Y194" s="15">
        <f t="shared" si="23"/>
        <v>0</v>
      </c>
    </row>
    <row r="195" hidden="1">
      <c r="A195" s="7">
        <v>44129.36865746528</v>
      </c>
      <c r="B195" s="8" t="s">
        <v>26</v>
      </c>
      <c r="C195" s="8">
        <v>22087.0</v>
      </c>
      <c r="D195" s="8" t="s">
        <v>69</v>
      </c>
      <c r="F195" s="8" t="s">
        <v>106</v>
      </c>
      <c r="G195" s="8">
        <v>3047.0</v>
      </c>
      <c r="H195" s="8" t="s">
        <v>29</v>
      </c>
      <c r="I195" s="8" t="s">
        <v>77</v>
      </c>
      <c r="L195" s="8" t="s">
        <v>31</v>
      </c>
      <c r="M195" s="8" t="s">
        <v>34</v>
      </c>
      <c r="P195" s="9">
        <v>44128.0</v>
      </c>
      <c r="Q195" s="10">
        <v>0.04166666666424135</v>
      </c>
      <c r="R195" s="11" t="str">
        <f t="shared" si="1"/>
        <v>Настройка SEHO PRI</v>
      </c>
      <c r="S195" s="12" t="str">
        <f>iferror(VLOOKUP(C195,'ФИО'!A:B,2,0),"учётный код не найден")</f>
        <v>Хохряков Илья Александрович</v>
      </c>
      <c r="T195" s="13" t="str">
        <f t="shared" si="2"/>
        <v>915-00081.A-Модуль Трик8 (Кибертех)</v>
      </c>
      <c r="U195" s="8">
        <v>0.0</v>
      </c>
      <c r="V195" s="8">
        <v>0.0</v>
      </c>
      <c r="X195" s="14" t="str">
        <f t="shared" si="22"/>
        <v>Данные не заполены</v>
      </c>
      <c r="Y195" s="15">
        <f t="shared" si="23"/>
        <v>0</v>
      </c>
    </row>
    <row r="196" hidden="1">
      <c r="A196" s="7">
        <v>44109.32448304398</v>
      </c>
      <c r="B196" s="8" t="s">
        <v>38</v>
      </c>
      <c r="C196" s="8">
        <v>20751.0</v>
      </c>
      <c r="D196" s="8" t="s">
        <v>27</v>
      </c>
      <c r="E196" s="8" t="s">
        <v>50</v>
      </c>
      <c r="L196" s="8" t="s">
        <v>31</v>
      </c>
      <c r="M196" s="8" t="s">
        <v>34</v>
      </c>
      <c r="N196" s="8"/>
      <c r="O196" s="8"/>
      <c r="P196" s="9">
        <v>44108.0</v>
      </c>
      <c r="Q196" s="10">
        <v>0.020833333335758653</v>
      </c>
      <c r="R196" s="11" t="str">
        <f t="shared" si="1"/>
        <v>Заполнение отчёта</v>
      </c>
      <c r="S196" s="16" t="str">
        <f>iferror(VLOOKUP(C196,'ФИО'!A:B,2,0),"учётный код не найден")</f>
        <v>Кезерев Виталий Романович</v>
      </c>
      <c r="T196" s="13" t="str">
        <f t="shared" si="2"/>
        <v/>
      </c>
      <c r="W196" s="21" t="str">
        <f t="shared" ref="W196:W201" si="24">IFERROR((((38412/(ifs(O196&lt;35,35,O196&gt;34,O196)/N196)*0.7))),"Данные не заполены")</f>
        <v>Данные не заполены</v>
      </c>
      <c r="X196" s="15" t="str">
        <f t="shared" si="22"/>
        <v>Данные не заполены</v>
      </c>
      <c r="Y196" s="15">
        <f t="shared" si="23"/>
        <v>0</v>
      </c>
    </row>
    <row r="197" hidden="1">
      <c r="A197" s="7">
        <v>44112.80163019676</v>
      </c>
      <c r="B197" s="8" t="s">
        <v>26</v>
      </c>
      <c r="C197" s="8">
        <v>20751.0</v>
      </c>
      <c r="D197" s="8" t="s">
        <v>27</v>
      </c>
      <c r="E197" s="8" t="s">
        <v>50</v>
      </c>
      <c r="L197" s="8" t="s">
        <v>31</v>
      </c>
      <c r="M197" s="8" t="s">
        <v>34</v>
      </c>
      <c r="N197" s="8"/>
      <c r="O197" s="8"/>
      <c r="P197" s="9">
        <v>44112.0</v>
      </c>
      <c r="Q197" s="10">
        <v>0.020833333335758653</v>
      </c>
      <c r="R197" s="11" t="str">
        <f t="shared" si="1"/>
        <v>Заполнение отчёта</v>
      </c>
      <c r="S197" s="16" t="str">
        <f>iferror(VLOOKUP(C197,'ФИО'!A:B,2,0),"учётный код не найден")</f>
        <v>Кезерев Виталий Романович</v>
      </c>
      <c r="T197" s="13" t="str">
        <f t="shared" si="2"/>
        <v/>
      </c>
      <c r="W197" s="21" t="str">
        <f t="shared" si="24"/>
        <v>Данные не заполены</v>
      </c>
      <c r="X197" s="15" t="str">
        <f t="shared" si="22"/>
        <v>Данные не заполены</v>
      </c>
      <c r="Y197" s="15">
        <f t="shared" si="23"/>
        <v>0</v>
      </c>
    </row>
    <row r="198" hidden="1">
      <c r="A198" s="7">
        <v>44113.82780615741</v>
      </c>
      <c r="B198" s="8" t="s">
        <v>26</v>
      </c>
      <c r="C198" s="8">
        <v>20751.0</v>
      </c>
      <c r="D198" s="8" t="s">
        <v>27</v>
      </c>
      <c r="E198" s="8" t="s">
        <v>50</v>
      </c>
      <c r="L198" s="8" t="s">
        <v>31</v>
      </c>
      <c r="M198" s="8" t="s">
        <v>34</v>
      </c>
      <c r="N198" s="8"/>
      <c r="O198" s="8"/>
      <c r="P198" s="9">
        <v>44113.0</v>
      </c>
      <c r="Q198" s="10">
        <v>0.020833333335758653</v>
      </c>
      <c r="R198" s="11" t="str">
        <f t="shared" si="1"/>
        <v>Заполнение отчёта</v>
      </c>
      <c r="S198" s="16" t="str">
        <f>iferror(VLOOKUP(C198,'ФИО'!A:B,2,0),"учётный код не найден")</f>
        <v>Кезерев Виталий Романович</v>
      </c>
      <c r="T198" s="13" t="str">
        <f t="shared" si="2"/>
        <v/>
      </c>
      <c r="W198" s="21" t="str">
        <f t="shared" si="24"/>
        <v>Данные не заполены</v>
      </c>
      <c r="X198" s="15" t="str">
        <f t="shared" si="22"/>
        <v>Данные не заполены</v>
      </c>
      <c r="Y198" s="15">
        <f t="shared" si="23"/>
        <v>0</v>
      </c>
    </row>
    <row r="199" hidden="1">
      <c r="A199" s="7">
        <v>44116.32892570602</v>
      </c>
      <c r="B199" s="8" t="s">
        <v>38</v>
      </c>
      <c r="C199" s="8">
        <v>20751.0</v>
      </c>
      <c r="D199" s="8" t="s">
        <v>27</v>
      </c>
      <c r="E199" s="8" t="s">
        <v>50</v>
      </c>
      <c r="L199" s="8" t="s">
        <v>31</v>
      </c>
      <c r="M199" s="8" t="s">
        <v>34</v>
      </c>
      <c r="N199" s="8"/>
      <c r="O199" s="8"/>
      <c r="P199" s="9">
        <v>44115.0</v>
      </c>
      <c r="Q199" s="10">
        <v>0.020833333335758653</v>
      </c>
      <c r="R199" s="11" t="str">
        <f t="shared" si="1"/>
        <v>Заполнение отчёта</v>
      </c>
      <c r="S199" s="16" t="str">
        <f>iferror(VLOOKUP(C199,'ФИО'!A:B,2,0),"учётный код не найден")</f>
        <v>Кезерев Виталий Романович</v>
      </c>
      <c r="T199" s="13" t="str">
        <f t="shared" si="2"/>
        <v/>
      </c>
      <c r="W199" s="21" t="str">
        <f t="shared" si="24"/>
        <v>Данные не заполены</v>
      </c>
      <c r="X199" s="15" t="str">
        <f t="shared" si="22"/>
        <v>Данные не заполены</v>
      </c>
      <c r="Y199" s="15">
        <f t="shared" si="23"/>
        <v>0</v>
      </c>
    </row>
    <row r="200" hidden="1">
      <c r="A200" s="7">
        <v>44117.327947233796</v>
      </c>
      <c r="B200" s="8" t="s">
        <v>38</v>
      </c>
      <c r="C200" s="8">
        <v>20751.0</v>
      </c>
      <c r="D200" s="8" t="s">
        <v>27</v>
      </c>
      <c r="E200" s="8" t="s">
        <v>50</v>
      </c>
      <c r="L200" s="8" t="s">
        <v>31</v>
      </c>
      <c r="M200" s="8" t="s">
        <v>34</v>
      </c>
      <c r="N200" s="8"/>
      <c r="O200" s="8"/>
      <c r="P200" s="9">
        <v>44116.0</v>
      </c>
      <c r="Q200" s="10">
        <v>0.013888888890505768</v>
      </c>
      <c r="R200" s="11" t="str">
        <f t="shared" si="1"/>
        <v>Заполнение отчёта</v>
      </c>
      <c r="S200" s="16" t="str">
        <f>iferror(VLOOKUP(C200,'ФИО'!A:B,2,0),"учётный код не найден")</f>
        <v>Кезерев Виталий Романович</v>
      </c>
      <c r="T200" s="13" t="str">
        <f t="shared" si="2"/>
        <v/>
      </c>
      <c r="W200" s="21" t="str">
        <f t="shared" si="24"/>
        <v>Данные не заполены</v>
      </c>
      <c r="X200" s="15" t="str">
        <f t="shared" si="22"/>
        <v>Данные не заполены</v>
      </c>
      <c r="Y200" s="15">
        <f t="shared" si="23"/>
        <v>0</v>
      </c>
    </row>
    <row r="201" hidden="1">
      <c r="A201" s="7">
        <v>44120.828618252315</v>
      </c>
      <c r="B201" s="8" t="s">
        <v>26</v>
      </c>
      <c r="C201" s="8">
        <v>20751.0</v>
      </c>
      <c r="D201" s="8" t="s">
        <v>27</v>
      </c>
      <c r="E201" s="8" t="s">
        <v>50</v>
      </c>
      <c r="L201" s="8" t="s">
        <v>31</v>
      </c>
      <c r="M201" s="8" t="s">
        <v>34</v>
      </c>
      <c r="P201" s="9">
        <v>44120.0</v>
      </c>
      <c r="Q201" s="10">
        <v>0.020833333335758653</v>
      </c>
      <c r="R201" s="11" t="str">
        <f t="shared" si="1"/>
        <v>Заполнение отчёта</v>
      </c>
      <c r="S201" s="16" t="str">
        <f>iferror(VLOOKUP(C201,'ФИО'!A:B,2,0),"учётный код не найден")</f>
        <v>Кезерев Виталий Романович</v>
      </c>
      <c r="T201" s="13" t="str">
        <f t="shared" si="2"/>
        <v/>
      </c>
      <c r="W201" s="17" t="str">
        <f t="shared" si="24"/>
        <v>Данные не заполены</v>
      </c>
      <c r="X201" s="14" t="str">
        <f t="shared" si="22"/>
        <v>Данные не заполены</v>
      </c>
      <c r="Y201" s="15">
        <f t="shared" si="23"/>
        <v>0</v>
      </c>
    </row>
    <row r="202" hidden="1">
      <c r="A202" s="7">
        <v>44129.82510135417</v>
      </c>
      <c r="B202" s="8" t="s">
        <v>26</v>
      </c>
      <c r="C202" s="8">
        <v>21522.0</v>
      </c>
      <c r="D202" s="8" t="s">
        <v>27</v>
      </c>
      <c r="E202" s="8" t="s">
        <v>101</v>
      </c>
      <c r="G202" s="8">
        <v>3237.0</v>
      </c>
      <c r="H202" s="8" t="s">
        <v>29</v>
      </c>
      <c r="I202" s="8" t="s">
        <v>56</v>
      </c>
      <c r="L202" s="8" t="s">
        <v>31</v>
      </c>
      <c r="M202" s="8" t="s">
        <v>34</v>
      </c>
      <c r="P202" s="9">
        <v>44129.0</v>
      </c>
      <c r="Q202" s="10">
        <v>0.020833333335758653</v>
      </c>
      <c r="R202" s="11" t="str">
        <f t="shared" si="1"/>
        <v>Настройка принтера Prim</v>
      </c>
      <c r="S202" s="12" t="str">
        <f>iferror(VLOOKUP(C202,'ФИО'!A:B,2,0),"учётный код не найден")</f>
        <v>Исаев Никита Дмитриевич</v>
      </c>
      <c r="T202" s="13" t="str">
        <f t="shared" si="2"/>
        <v>915-00098.А - ПКБУИК-38 АСЛБ.465122.020 (Квант)</v>
      </c>
      <c r="U202" s="8">
        <v>0.0</v>
      </c>
      <c r="V202" s="8">
        <v>0.0</v>
      </c>
      <c r="X202" s="14" t="str">
        <f t="shared" si="22"/>
        <v>Данные не заполены</v>
      </c>
      <c r="Y202" s="15">
        <f t="shared" si="23"/>
        <v>0</v>
      </c>
    </row>
    <row r="203" hidden="1">
      <c r="A203" s="7">
        <v>44129.82500052083</v>
      </c>
      <c r="B203" s="8" t="s">
        <v>26</v>
      </c>
      <c r="C203" s="8">
        <v>21522.0</v>
      </c>
      <c r="D203" s="8" t="s">
        <v>27</v>
      </c>
      <c r="E203" s="8" t="s">
        <v>101</v>
      </c>
      <c r="G203" s="8">
        <v>3621.0</v>
      </c>
      <c r="H203" s="8" t="s">
        <v>29</v>
      </c>
      <c r="I203" s="8" t="s">
        <v>54</v>
      </c>
      <c r="L203" s="8" t="s">
        <v>31</v>
      </c>
      <c r="M203" s="8" t="s">
        <v>34</v>
      </c>
      <c r="P203" s="9">
        <v>44129.0</v>
      </c>
      <c r="Q203" s="10">
        <v>0.125</v>
      </c>
      <c r="R203" s="11" t="str">
        <f t="shared" si="1"/>
        <v>Настройка принтера Prim</v>
      </c>
      <c r="S203" s="12" t="str">
        <f>iferror(VLOOKUP(C203,'ФИО'!A:B,2,0),"учётный код не найден")</f>
        <v>Исаев Никита Дмитриевич</v>
      </c>
      <c r="T203" s="13" t="str">
        <f t="shared" si="2"/>
        <v>915-00121.A - Процессорный модуль РСЕН.469555.027 (КНС Групп)</v>
      </c>
      <c r="U203" s="8">
        <v>0.0</v>
      </c>
      <c r="V203" s="8">
        <v>0.0</v>
      </c>
      <c r="X203" s="14" t="str">
        <f t="shared" si="22"/>
        <v>Данные не заполены</v>
      </c>
      <c r="Y203" s="15">
        <f t="shared" si="23"/>
        <v>0</v>
      </c>
    </row>
    <row r="204" hidden="1">
      <c r="A204" s="7">
        <v>44120.82776059028</v>
      </c>
      <c r="B204" s="8" t="s">
        <v>26</v>
      </c>
      <c r="C204" s="8">
        <v>21522.0</v>
      </c>
      <c r="D204" s="8" t="s">
        <v>27</v>
      </c>
      <c r="E204" s="8" t="s">
        <v>101</v>
      </c>
      <c r="G204" s="8">
        <v>3649.0</v>
      </c>
      <c r="H204" s="8" t="s">
        <v>29</v>
      </c>
      <c r="I204" s="8" t="s">
        <v>33</v>
      </c>
      <c r="L204" s="8" t="s">
        <v>31</v>
      </c>
      <c r="M204" s="8" t="s">
        <v>34</v>
      </c>
      <c r="P204" s="9">
        <v>44120.0</v>
      </c>
      <c r="Q204" s="10">
        <v>0.020833333335758653</v>
      </c>
      <c r="R204" s="11" t="str">
        <f t="shared" si="1"/>
        <v>Настройка принтера Prim</v>
      </c>
      <c r="S204" s="16" t="str">
        <f>iferror(VLOOKUP(C204,'ФИО'!A:B,2,0),"учётный код не найден")</f>
        <v>Исаев Никита Дмитриевич</v>
      </c>
      <c r="T204" s="13" t="str">
        <f t="shared" si="2"/>
        <v>ssfp2.2 (Метротек)</v>
      </c>
      <c r="U204" s="8">
        <v>0.0</v>
      </c>
      <c r="V204" s="8">
        <v>0.0</v>
      </c>
      <c r="W204" s="17" t="str">
        <f t="shared" ref="W204:W209" si="25">IFERROR((((38412/(ifs(O204&lt;35,35,O204&gt;34,O204)/N204)*0.7))),"Данные не заполены")</f>
        <v>Данные не заполены</v>
      </c>
      <c r="X204" s="14" t="str">
        <f t="shared" si="22"/>
        <v>Данные не заполены</v>
      </c>
      <c r="Y204" s="15">
        <f t="shared" si="23"/>
        <v>0</v>
      </c>
    </row>
    <row r="205" hidden="1">
      <c r="A205" s="7">
        <v>44105.830464189814</v>
      </c>
      <c r="B205" s="8" t="s">
        <v>26</v>
      </c>
      <c r="C205" s="8">
        <v>21522.0</v>
      </c>
      <c r="D205" s="18" t="s">
        <v>69</v>
      </c>
      <c r="F205" s="8" t="s">
        <v>106</v>
      </c>
      <c r="G205" s="18">
        <v>3424.0</v>
      </c>
      <c r="H205" s="8" t="s">
        <v>29</v>
      </c>
      <c r="I205" s="8" t="s">
        <v>139</v>
      </c>
      <c r="L205" s="18" t="s">
        <v>31</v>
      </c>
      <c r="M205" s="8" t="s">
        <v>34</v>
      </c>
      <c r="N205" s="8"/>
      <c r="O205" s="8"/>
      <c r="P205" s="19">
        <v>44105.0</v>
      </c>
      <c r="Q205" s="20">
        <v>0.04166666666424135</v>
      </c>
      <c r="R205" s="13" t="str">
        <f t="shared" si="1"/>
        <v>Настройка SEHO PRI</v>
      </c>
      <c r="S205" s="16" t="str">
        <f>iferror(VLOOKUP(C205,'ФИО'!A:B,2,0),"учётный код не найден")</f>
        <v>Исаев Никита Дмитриевич</v>
      </c>
      <c r="T205" s="13" t="str">
        <f t="shared" si="2"/>
        <v>ИПТ-СА-А1R-л (Гефест)</v>
      </c>
      <c r="U205" s="8">
        <v>0.0</v>
      </c>
      <c r="V205" s="8">
        <v>0.0</v>
      </c>
      <c r="W205" s="21" t="str">
        <f t="shared" si="25"/>
        <v>Данные не заполены</v>
      </c>
      <c r="X205" s="15" t="str">
        <f t="shared" si="22"/>
        <v>Данные не заполены</v>
      </c>
      <c r="Y205" s="15">
        <f t="shared" si="23"/>
        <v>0</v>
      </c>
    </row>
    <row r="206" hidden="1">
      <c r="A206" s="7">
        <v>44109.33070096065</v>
      </c>
      <c r="B206" s="8" t="s">
        <v>38</v>
      </c>
      <c r="C206" s="8">
        <v>21522.0</v>
      </c>
      <c r="D206" s="8" t="s">
        <v>69</v>
      </c>
      <c r="F206" s="8" t="s">
        <v>106</v>
      </c>
      <c r="G206" s="8">
        <v>3579.0</v>
      </c>
      <c r="H206" s="8" t="s">
        <v>29</v>
      </c>
      <c r="I206" s="8" t="s">
        <v>42</v>
      </c>
      <c r="L206" s="8" t="s">
        <v>31</v>
      </c>
      <c r="M206" s="8" t="s">
        <v>34</v>
      </c>
      <c r="N206" s="8"/>
      <c r="O206" s="8"/>
      <c r="P206" s="9">
        <v>44108.0</v>
      </c>
      <c r="Q206" s="10">
        <v>0.020833333335758653</v>
      </c>
      <c r="R206" s="11" t="str">
        <f t="shared" si="1"/>
        <v>Настройка SEHO PRI</v>
      </c>
      <c r="S206" s="16" t="str">
        <f>iferror(VLOOKUP(C206,'ФИО'!A:B,2,0),"учётный код не найден")</f>
        <v>Исаев Никита Дмитриевич</v>
      </c>
      <c r="T206" s="13" t="str">
        <f t="shared" si="2"/>
        <v>915-00070.A - Модуль телематики ТМ1 v3 (Сознательные машины)</v>
      </c>
      <c r="U206" s="8">
        <v>0.0</v>
      </c>
      <c r="V206" s="8">
        <v>0.0</v>
      </c>
      <c r="W206" s="21" t="str">
        <f t="shared" si="25"/>
        <v>Данные не заполены</v>
      </c>
      <c r="X206" s="15" t="str">
        <f t="shared" si="22"/>
        <v>Данные не заполены</v>
      </c>
      <c r="Y206" s="15">
        <f t="shared" si="23"/>
        <v>0</v>
      </c>
    </row>
    <row r="207" hidden="1">
      <c r="A207" s="7">
        <v>44120.82711724537</v>
      </c>
      <c r="B207" s="8" t="s">
        <v>26</v>
      </c>
      <c r="C207" s="8">
        <v>21752.0</v>
      </c>
      <c r="D207" s="8" t="s">
        <v>27</v>
      </c>
      <c r="E207" s="8" t="s">
        <v>51</v>
      </c>
      <c r="G207" s="8">
        <v>3750.0</v>
      </c>
      <c r="H207" s="8" t="s">
        <v>45</v>
      </c>
      <c r="K207" s="8" t="s">
        <v>46</v>
      </c>
      <c r="L207" s="8" t="s">
        <v>37</v>
      </c>
      <c r="P207" s="9">
        <v>44120.0</v>
      </c>
      <c r="Q207" s="10">
        <v>0.27777777778101154</v>
      </c>
      <c r="R207" s="11" t="str">
        <f t="shared" si="1"/>
        <v>Внутрисхемное тестирование ICT</v>
      </c>
      <c r="S207" s="16" t="str">
        <f>iferror(VLOOKUP(C207,'ФИО'!A:B,2,0),"учётный код не найден")</f>
        <v>Егоров Александр Александрович</v>
      </c>
      <c r="T207" s="13" t="str">
        <f t="shared" si="2"/>
        <v>ПУ 910-00349.A "Печатный узел основного блока E96 4LIN"</v>
      </c>
      <c r="U207" s="8">
        <v>319.0</v>
      </c>
      <c r="V207" s="8">
        <v>1.0</v>
      </c>
      <c r="W207" s="17" t="str">
        <f t="shared" si="25"/>
        <v>Данные не заполены</v>
      </c>
      <c r="X207" s="14" t="str">
        <f t="shared" si="22"/>
        <v>Данные не заполены</v>
      </c>
      <c r="Y207" s="15">
        <f t="shared" si="23"/>
        <v>0.003134796238</v>
      </c>
    </row>
    <row r="208" hidden="1">
      <c r="A208" s="7">
        <v>44121.82440650463</v>
      </c>
      <c r="B208" s="8" t="s">
        <v>26</v>
      </c>
      <c r="C208" s="8">
        <v>21752.0</v>
      </c>
      <c r="D208" s="8" t="s">
        <v>27</v>
      </c>
      <c r="E208" s="8" t="s">
        <v>51</v>
      </c>
      <c r="G208" s="8">
        <v>3754.0</v>
      </c>
      <c r="H208" s="8" t="s">
        <v>45</v>
      </c>
      <c r="K208" s="8" t="s">
        <v>124</v>
      </c>
      <c r="L208" s="8" t="s">
        <v>31</v>
      </c>
      <c r="M208" s="8" t="s">
        <v>34</v>
      </c>
      <c r="P208" s="9">
        <v>44121.0</v>
      </c>
      <c r="Q208" s="10">
        <v>0.04166666666424135</v>
      </c>
      <c r="R208" s="11" t="str">
        <f t="shared" si="1"/>
        <v>Внутрисхемное тестирование ICT</v>
      </c>
      <c r="S208" s="16" t="str">
        <f>iferror(VLOOKUP(C208,'ФИО'!A:B,2,0),"учётный код не найден")</f>
        <v>Егоров Александр Александрович</v>
      </c>
      <c r="T208" s="13" t="str">
        <f t="shared" si="2"/>
        <v>ПУ 910-00120.D - Печатный узел модуля 2CAN+LIN</v>
      </c>
      <c r="U208" s="8">
        <v>256.0</v>
      </c>
      <c r="V208" s="8">
        <v>0.0</v>
      </c>
      <c r="W208" s="17" t="str">
        <f t="shared" si="25"/>
        <v>Данные не заполены</v>
      </c>
      <c r="X208" s="14" t="str">
        <f t="shared" si="22"/>
        <v>Данные не заполены</v>
      </c>
      <c r="Y208" s="15">
        <f t="shared" si="23"/>
        <v>0</v>
      </c>
      <c r="Z208" s="8" t="s">
        <v>140</v>
      </c>
    </row>
    <row r="209" hidden="1">
      <c r="A209" s="7">
        <v>44121.82622797454</v>
      </c>
      <c r="B209" s="8" t="s">
        <v>26</v>
      </c>
      <c r="C209" s="8">
        <v>21752.0</v>
      </c>
      <c r="D209" s="8" t="s">
        <v>27</v>
      </c>
      <c r="E209" s="8" t="s">
        <v>51</v>
      </c>
      <c r="G209" s="8">
        <v>3750.0</v>
      </c>
      <c r="H209" s="8" t="s">
        <v>45</v>
      </c>
      <c r="K209" s="8" t="s">
        <v>46</v>
      </c>
      <c r="L209" s="8" t="s">
        <v>37</v>
      </c>
      <c r="P209" s="9">
        <v>44121.0</v>
      </c>
      <c r="Q209" s="10">
        <v>0.35416666666424135</v>
      </c>
      <c r="R209" s="11" t="str">
        <f t="shared" si="1"/>
        <v>Внутрисхемное тестирование ICT</v>
      </c>
      <c r="S209" s="16" t="str">
        <f>iferror(VLOOKUP(C209,'ФИО'!A:B,2,0),"учётный код не найден")</f>
        <v>Егоров Александр Александрович</v>
      </c>
      <c r="T209" s="13" t="str">
        <f t="shared" si="2"/>
        <v>ПУ 910-00349.A "Печатный узел основного блока E96 4LIN"</v>
      </c>
      <c r="U209" s="8">
        <v>515.0</v>
      </c>
      <c r="V209" s="8">
        <v>1.0</v>
      </c>
      <c r="W209" s="17" t="str">
        <f t="shared" si="25"/>
        <v>Данные не заполены</v>
      </c>
      <c r="X209" s="14" t="str">
        <f t="shared" si="22"/>
        <v>Данные не заполены</v>
      </c>
      <c r="Y209" s="15">
        <f t="shared" si="23"/>
        <v>0.001941747573</v>
      </c>
    </row>
    <row r="210" hidden="1">
      <c r="A210" s="7">
        <v>44124.324384155094</v>
      </c>
      <c r="B210" s="8" t="s">
        <v>38</v>
      </c>
      <c r="C210" s="8">
        <v>21752.0</v>
      </c>
      <c r="D210" s="8" t="s">
        <v>27</v>
      </c>
      <c r="E210" s="8" t="s">
        <v>51</v>
      </c>
      <c r="G210" s="8">
        <v>3754.0</v>
      </c>
      <c r="H210" s="8" t="s">
        <v>45</v>
      </c>
      <c r="K210" s="8" t="s">
        <v>124</v>
      </c>
      <c r="L210" s="8" t="s">
        <v>31</v>
      </c>
      <c r="M210" s="8" t="s">
        <v>141</v>
      </c>
      <c r="P210" s="9">
        <v>44123.0</v>
      </c>
      <c r="Q210" s="10">
        <v>0.14583333333575865</v>
      </c>
      <c r="R210" s="11" t="str">
        <f t="shared" si="1"/>
        <v>Внутрисхемное тестирование ICT</v>
      </c>
      <c r="S210" s="16" t="str">
        <f>iferror(VLOOKUP(C210,'ФИО'!A:B,2,0),"учётный код не найден")</f>
        <v>Егоров Александр Александрович</v>
      </c>
      <c r="T210" s="13" t="str">
        <f t="shared" si="2"/>
        <v>ПУ 910-00120.D - Печатный узел модуля 2CAN+LIN</v>
      </c>
      <c r="U210" s="8">
        <v>2304.0</v>
      </c>
      <c r="V210" s="8">
        <v>0.0</v>
      </c>
      <c r="X210" s="14" t="str">
        <f t="shared" si="22"/>
        <v>Данные не заполены</v>
      </c>
      <c r="Y210" s="15">
        <f t="shared" si="23"/>
        <v>0</v>
      </c>
    </row>
    <row r="211" hidden="1">
      <c r="A211" s="7">
        <v>44124.32633114583</v>
      </c>
      <c r="B211" s="8" t="s">
        <v>38</v>
      </c>
      <c r="C211" s="8">
        <v>21752.0</v>
      </c>
      <c r="D211" s="8" t="s">
        <v>27</v>
      </c>
      <c r="E211" s="8" t="s">
        <v>51</v>
      </c>
      <c r="G211" s="8">
        <v>3750.0</v>
      </c>
      <c r="H211" s="8" t="s">
        <v>45</v>
      </c>
      <c r="K211" s="8" t="s">
        <v>46</v>
      </c>
      <c r="L211" s="8" t="s">
        <v>37</v>
      </c>
      <c r="P211" s="9">
        <v>44123.0</v>
      </c>
      <c r="Q211" s="10">
        <v>0.14583333333575865</v>
      </c>
      <c r="R211" s="11" t="str">
        <f t="shared" si="1"/>
        <v>Внутрисхемное тестирование ICT</v>
      </c>
      <c r="S211" s="16" t="str">
        <f>iferror(VLOOKUP(C211,'ФИО'!A:B,2,0),"учётный код не найден")</f>
        <v>Егоров Александр Александрович</v>
      </c>
      <c r="T211" s="13" t="str">
        <f t="shared" si="2"/>
        <v>ПУ 910-00349.A "Печатный узел основного блока E96 4LIN"</v>
      </c>
      <c r="U211" s="8">
        <v>183.0</v>
      </c>
      <c r="V211" s="8">
        <v>1.0</v>
      </c>
      <c r="X211" s="14" t="str">
        <f t="shared" si="22"/>
        <v>Данные не заполены</v>
      </c>
      <c r="Y211" s="15">
        <f t="shared" si="23"/>
        <v>0.005464480874</v>
      </c>
    </row>
    <row r="212" hidden="1">
      <c r="A212" s="7">
        <v>44125.32643199074</v>
      </c>
      <c r="B212" s="8" t="s">
        <v>38</v>
      </c>
      <c r="C212" s="8">
        <v>21752.0</v>
      </c>
      <c r="D212" s="8" t="s">
        <v>27</v>
      </c>
      <c r="E212" s="8" t="s">
        <v>51</v>
      </c>
      <c r="G212" s="8">
        <v>3754.0</v>
      </c>
      <c r="H212" s="8" t="s">
        <v>45</v>
      </c>
      <c r="K212" s="8" t="s">
        <v>124</v>
      </c>
      <c r="L212" s="8" t="s">
        <v>31</v>
      </c>
      <c r="M212" s="8" t="s">
        <v>142</v>
      </c>
      <c r="P212" s="9">
        <v>44124.0</v>
      </c>
      <c r="Q212" s="10">
        <v>0.4375</v>
      </c>
      <c r="R212" s="11" t="str">
        <f t="shared" si="1"/>
        <v>Внутрисхемное тестирование ICT</v>
      </c>
      <c r="S212" s="16" t="str">
        <f>iferror(VLOOKUP(C212,'ФИО'!A:B,2,0),"учётный код не найден")</f>
        <v>Егоров Александр Александрович</v>
      </c>
      <c r="T212" s="13" t="str">
        <f t="shared" si="2"/>
        <v>ПУ 910-00120.D - Печатный узел модуля 2CAN+LIN</v>
      </c>
      <c r="U212" s="8">
        <v>7703.0</v>
      </c>
      <c r="V212" s="8">
        <v>1.0</v>
      </c>
      <c r="X212" s="14" t="str">
        <f t="shared" si="22"/>
        <v>Данные не заполены</v>
      </c>
      <c r="Y212" s="15">
        <f t="shared" si="23"/>
        <v>0.0001298195508</v>
      </c>
    </row>
    <row r="213" hidden="1">
      <c r="A213" s="7">
        <v>44133.32025520834</v>
      </c>
      <c r="B213" s="8" t="s">
        <v>38</v>
      </c>
      <c r="C213" s="8">
        <v>21752.0</v>
      </c>
      <c r="D213" s="8" t="s">
        <v>27</v>
      </c>
      <c r="E213" s="8" t="s">
        <v>51</v>
      </c>
      <c r="G213" s="8">
        <v>3804.0</v>
      </c>
      <c r="H213" s="8" t="s">
        <v>45</v>
      </c>
      <c r="K213" s="8" t="s">
        <v>52</v>
      </c>
      <c r="L213" s="8" t="s">
        <v>37</v>
      </c>
      <c r="P213" s="9">
        <v>44132.0</v>
      </c>
      <c r="Q213" s="10">
        <v>0.39583333333575865</v>
      </c>
      <c r="R213" s="11" t="str">
        <f t="shared" si="1"/>
        <v>Внутрисхемное тестирование ICT</v>
      </c>
      <c r="S213" s="12" t="str">
        <f>iferror(VLOOKUP(C213,'ФИО'!A:B,2,0),"учётный код не найден")</f>
        <v>Егоров Александр Александрович</v>
      </c>
      <c r="T213" s="13" t="str">
        <f t="shared" si="2"/>
        <v>М17V2 (900-00018.D)_910-00023.H и ПУ 910-00012.I</v>
      </c>
      <c r="U213" s="8">
        <v>1340.0</v>
      </c>
      <c r="V213" s="8">
        <v>20.0</v>
      </c>
      <c r="X213" s="14" t="str">
        <f t="shared" si="22"/>
        <v>Данные не заполены</v>
      </c>
      <c r="Y213" s="15">
        <f t="shared" si="23"/>
        <v>0.01492537313</v>
      </c>
    </row>
    <row r="214" hidden="1">
      <c r="A214" s="7">
        <v>44108.33330644676</v>
      </c>
      <c r="B214" s="8" t="s">
        <v>38</v>
      </c>
      <c r="C214" s="8">
        <v>21803.0</v>
      </c>
      <c r="D214" s="8" t="s">
        <v>27</v>
      </c>
      <c r="E214" s="8" t="s">
        <v>121</v>
      </c>
      <c r="G214" s="8">
        <v>3706.0</v>
      </c>
      <c r="H214" s="8" t="s">
        <v>45</v>
      </c>
      <c r="K214" s="8" t="s">
        <v>91</v>
      </c>
      <c r="L214" s="8" t="s">
        <v>31</v>
      </c>
      <c r="M214" s="8" t="s">
        <v>34</v>
      </c>
      <c r="N214" s="8"/>
      <c r="O214" s="8"/>
      <c r="P214" s="9">
        <v>44107.0</v>
      </c>
      <c r="Q214" s="10">
        <v>0.04166666666424135</v>
      </c>
      <c r="R214" s="11" t="str">
        <f t="shared" si="1"/>
        <v>Настройка линии Secondary</v>
      </c>
      <c r="S214" s="16" t="str">
        <f>iferror(VLOOKUP(C214,'ФИО'!A:B,2,0),"учётный код не найден")</f>
        <v>Белоглазова Виктория Сергеевна</v>
      </c>
      <c r="T214" s="13" t="str">
        <f t="shared" si="2"/>
        <v>ПУ Сигма 10/15 910-00080.D</v>
      </c>
      <c r="U214" s="8">
        <v>0.0</v>
      </c>
      <c r="V214" s="8">
        <v>0.0</v>
      </c>
      <c r="W214" s="21" t="str">
        <f t="shared" ref="W214:W218" si="26">IFERROR((((38412/(ifs(O214&lt;35,35,O214&gt;34,O214)/N214)*0.7))),"Данные не заполены")</f>
        <v>Данные не заполены</v>
      </c>
      <c r="X214" s="15" t="str">
        <f t="shared" si="22"/>
        <v>Данные не заполены</v>
      </c>
      <c r="Y214" s="15">
        <f t="shared" si="23"/>
        <v>0</v>
      </c>
    </row>
    <row r="215" hidden="1">
      <c r="A215" s="7">
        <v>44108.33114642361</v>
      </c>
      <c r="B215" s="8" t="s">
        <v>38</v>
      </c>
      <c r="C215" s="8">
        <v>21803.0</v>
      </c>
      <c r="D215" s="8" t="s">
        <v>27</v>
      </c>
      <c r="E215" s="8" t="s">
        <v>101</v>
      </c>
      <c r="G215" s="8">
        <v>3726.0</v>
      </c>
      <c r="H215" s="8" t="s">
        <v>45</v>
      </c>
      <c r="K215" s="8" t="s">
        <v>58</v>
      </c>
      <c r="L215" s="8" t="s">
        <v>31</v>
      </c>
      <c r="M215" s="8" t="s">
        <v>143</v>
      </c>
      <c r="N215" s="8"/>
      <c r="O215" s="8"/>
      <c r="P215" s="9">
        <v>44107.0</v>
      </c>
      <c r="Q215" s="10">
        <v>0.010416666664241347</v>
      </c>
      <c r="R215" s="11" t="str">
        <f t="shared" si="1"/>
        <v>Настройка принтера Prim</v>
      </c>
      <c r="S215" s="16" t="str">
        <f>iferror(VLOOKUP(C215,'ФИО'!A:B,2,0),"учётный код не найден")</f>
        <v>Белоглазова Виктория Сергеевна</v>
      </c>
      <c r="T215" s="13" t="str">
        <f t="shared" si="2"/>
        <v>ПУ метки i95</v>
      </c>
      <c r="U215" s="8">
        <v>0.0</v>
      </c>
      <c r="V215" s="8">
        <v>0.0</v>
      </c>
      <c r="W215" s="21" t="str">
        <f t="shared" si="26"/>
        <v>Данные не заполены</v>
      </c>
      <c r="X215" s="15" t="str">
        <f t="shared" si="22"/>
        <v>Данные не заполены</v>
      </c>
      <c r="Y215" s="15">
        <f t="shared" si="23"/>
        <v>0</v>
      </c>
    </row>
    <row r="216" hidden="1">
      <c r="A216" s="7">
        <v>44112.827566736116</v>
      </c>
      <c r="B216" s="8" t="s">
        <v>26</v>
      </c>
      <c r="C216" s="8">
        <v>21803.0</v>
      </c>
      <c r="D216" s="8" t="s">
        <v>27</v>
      </c>
      <c r="E216" s="8" t="s">
        <v>101</v>
      </c>
      <c r="G216" s="8">
        <v>3750.0</v>
      </c>
      <c r="H216" s="8" t="s">
        <v>9</v>
      </c>
      <c r="J216" s="8" t="s">
        <v>46</v>
      </c>
      <c r="L216" s="8" t="s">
        <v>31</v>
      </c>
      <c r="M216" s="8" t="s">
        <v>34</v>
      </c>
      <c r="N216" s="8"/>
      <c r="O216" s="8"/>
      <c r="P216" s="9">
        <v>44112.0</v>
      </c>
      <c r="Q216" s="10">
        <v>0.020833333335758653</v>
      </c>
      <c r="R216" s="11" t="str">
        <f t="shared" si="1"/>
        <v>Настройка принтера Prim</v>
      </c>
      <c r="S216" s="16" t="str">
        <f>iferror(VLOOKUP(C216,'ФИО'!A:B,2,0),"учётный код не найден")</f>
        <v>Белоглазова Виктория Сергеевна</v>
      </c>
      <c r="T216" s="13" t="str">
        <f t="shared" si="2"/>
        <v>ПУ 910-00349.A "Печатный узел основного блока E96 4LIN"</v>
      </c>
      <c r="U216" s="8">
        <v>0.0</v>
      </c>
      <c r="V216" s="8">
        <v>0.0</v>
      </c>
      <c r="W216" s="21" t="str">
        <f t="shared" si="26"/>
        <v>Данные не заполены</v>
      </c>
      <c r="X216" s="15" t="str">
        <f t="shared" si="22"/>
        <v>Данные не заполены</v>
      </c>
      <c r="Y216" s="15">
        <f t="shared" si="23"/>
        <v>0</v>
      </c>
    </row>
    <row r="217" hidden="1">
      <c r="A217" s="7">
        <v>44113.81693398148</v>
      </c>
      <c r="B217" s="8" t="s">
        <v>26</v>
      </c>
      <c r="C217" s="8">
        <v>21803.0</v>
      </c>
      <c r="D217" s="8" t="s">
        <v>27</v>
      </c>
      <c r="E217" s="8" t="s">
        <v>101</v>
      </c>
      <c r="G217" s="8">
        <v>3750.0</v>
      </c>
      <c r="H217" s="8" t="s">
        <v>45</v>
      </c>
      <c r="K217" s="8" t="s">
        <v>46</v>
      </c>
      <c r="L217" s="8" t="s">
        <v>31</v>
      </c>
      <c r="M217" s="8" t="s">
        <v>34</v>
      </c>
      <c r="N217" s="8"/>
      <c r="O217" s="8"/>
      <c r="P217" s="9">
        <v>44113.0</v>
      </c>
      <c r="Q217" s="10">
        <v>0.020833333335758653</v>
      </c>
      <c r="R217" s="11" t="str">
        <f t="shared" si="1"/>
        <v>Настройка принтера Prim</v>
      </c>
      <c r="S217" s="16" t="str">
        <f>iferror(VLOOKUP(C217,'ФИО'!A:B,2,0),"учётный код не найден")</f>
        <v>Белоглазова Виктория Сергеевна</v>
      </c>
      <c r="T217" s="13" t="str">
        <f t="shared" si="2"/>
        <v>ПУ 910-00349.A "Печатный узел основного блока E96 4LIN"</v>
      </c>
      <c r="U217" s="8">
        <v>0.0</v>
      </c>
      <c r="V217" s="8">
        <v>0.0</v>
      </c>
      <c r="W217" s="21" t="str">
        <f t="shared" si="26"/>
        <v>Данные не заполены</v>
      </c>
      <c r="X217" s="15" t="str">
        <f t="shared" si="22"/>
        <v>Данные не заполены</v>
      </c>
      <c r="Y217" s="15">
        <f t="shared" si="23"/>
        <v>0</v>
      </c>
    </row>
    <row r="218" hidden="1">
      <c r="A218" s="7">
        <v>44120.82576767361</v>
      </c>
      <c r="B218" s="8" t="s">
        <v>26</v>
      </c>
      <c r="C218" s="8">
        <v>21803.0</v>
      </c>
      <c r="D218" s="8" t="s">
        <v>27</v>
      </c>
      <c r="E218" s="8" t="s">
        <v>84</v>
      </c>
      <c r="G218" s="8">
        <v>3649.0</v>
      </c>
      <c r="H218" s="8" t="s">
        <v>29</v>
      </c>
      <c r="I218" s="8" t="s">
        <v>33</v>
      </c>
      <c r="L218" s="8" t="s">
        <v>31</v>
      </c>
      <c r="M218" s="8" t="s">
        <v>34</v>
      </c>
      <c r="P218" s="9">
        <v>44120.0</v>
      </c>
      <c r="Q218" s="10">
        <v>0.020833333335758653</v>
      </c>
      <c r="R218" s="11" t="str">
        <f t="shared" si="1"/>
        <v>Настройка принтера Sec</v>
      </c>
      <c r="S218" s="16" t="str">
        <f>iferror(VLOOKUP(C218,'ФИО'!A:B,2,0),"учётный код не найден")</f>
        <v>Белоглазова Виктория Сергеевна</v>
      </c>
      <c r="T218" s="13" t="str">
        <f t="shared" si="2"/>
        <v>ssfp2.2 (Метротек)</v>
      </c>
      <c r="U218" s="8">
        <v>0.0</v>
      </c>
      <c r="V218" s="8">
        <v>0.0</v>
      </c>
      <c r="W218" s="17" t="str">
        <f t="shared" si="26"/>
        <v>Данные не заполены</v>
      </c>
      <c r="X218" s="14" t="str">
        <f t="shared" si="22"/>
        <v>Данные не заполены</v>
      </c>
      <c r="Y218" s="15">
        <f t="shared" si="23"/>
        <v>0</v>
      </c>
    </row>
    <row r="219" hidden="1">
      <c r="A219" s="7">
        <v>44125.310095625</v>
      </c>
      <c r="B219" s="8" t="s">
        <v>38</v>
      </c>
      <c r="C219" s="8">
        <v>21803.0</v>
      </c>
      <c r="D219" s="8" t="s">
        <v>27</v>
      </c>
      <c r="E219" s="8" t="s">
        <v>84</v>
      </c>
      <c r="G219" s="8">
        <v>3804.0</v>
      </c>
      <c r="H219" s="8" t="s">
        <v>45</v>
      </c>
      <c r="K219" s="8" t="s">
        <v>52</v>
      </c>
      <c r="L219" s="8" t="s">
        <v>31</v>
      </c>
      <c r="M219" s="8" t="s">
        <v>34</v>
      </c>
      <c r="P219" s="9">
        <v>44124.0</v>
      </c>
      <c r="Q219" s="10">
        <v>0.027777777781011537</v>
      </c>
      <c r="R219" s="11" t="str">
        <f t="shared" si="1"/>
        <v>Настройка принтера Sec</v>
      </c>
      <c r="S219" s="16" t="str">
        <f>iferror(VLOOKUP(C219,'ФИО'!A:B,2,0),"учётный код не найден")</f>
        <v>Белоглазова Виктория Сергеевна</v>
      </c>
      <c r="T219" s="13" t="str">
        <f t="shared" si="2"/>
        <v>М17V2 (900-00018.D)_910-00023.H и ПУ 910-00012.I</v>
      </c>
      <c r="U219" s="8">
        <v>0.0</v>
      </c>
      <c r="V219" s="8">
        <v>0.0</v>
      </c>
      <c r="X219" s="14" t="str">
        <f t="shared" si="22"/>
        <v>Данные не заполены</v>
      </c>
      <c r="Y219" s="15">
        <f t="shared" si="23"/>
        <v>0</v>
      </c>
    </row>
    <row r="220" hidden="1">
      <c r="A220" s="7">
        <v>44105.812591319445</v>
      </c>
      <c r="B220" s="8" t="s">
        <v>26</v>
      </c>
      <c r="C220" s="8">
        <v>21803.0</v>
      </c>
      <c r="D220" s="18" t="s">
        <v>27</v>
      </c>
      <c r="E220" s="8" t="s">
        <v>82</v>
      </c>
      <c r="G220" s="18">
        <v>3579.0</v>
      </c>
      <c r="H220" s="8" t="s">
        <v>29</v>
      </c>
      <c r="I220" s="8" t="s">
        <v>42</v>
      </c>
      <c r="L220" s="18" t="s">
        <v>31</v>
      </c>
      <c r="M220" s="8" t="s">
        <v>34</v>
      </c>
      <c r="N220" s="8"/>
      <c r="O220" s="8"/>
      <c r="P220" s="19">
        <v>44105.0</v>
      </c>
      <c r="Q220" s="20">
        <v>0.020833333335758653</v>
      </c>
      <c r="R220" s="13" t="str">
        <f t="shared" si="1"/>
        <v>Настройка установщиков</v>
      </c>
      <c r="S220" s="16" t="str">
        <f>iferror(VLOOKUP(C220,'ФИО'!A:B,2,0),"учётный код не найден")</f>
        <v>Белоглазова Виктория Сергеевна</v>
      </c>
      <c r="T220" s="13" t="str">
        <f t="shared" si="2"/>
        <v>915-00070.A - Модуль телематики ТМ1 v3 (Сознательные машины)</v>
      </c>
      <c r="U220" s="8">
        <v>0.0</v>
      </c>
      <c r="V220" s="8">
        <v>0.0</v>
      </c>
      <c r="W220" s="21" t="str">
        <f t="shared" ref="W220:W222" si="27">IFERROR((((38412/(ifs(O220&lt;35,35,O220&gt;34,O220)/N220)*0.7))),"Данные не заполены")</f>
        <v>Данные не заполены</v>
      </c>
      <c r="X220" s="15" t="str">
        <f t="shared" si="22"/>
        <v>Данные не заполены</v>
      </c>
      <c r="Y220" s="15">
        <f t="shared" si="23"/>
        <v>0</v>
      </c>
    </row>
    <row r="221" hidden="1">
      <c r="A221" s="7">
        <v>44109.31821420139</v>
      </c>
      <c r="B221" s="8" t="s">
        <v>38</v>
      </c>
      <c r="C221" s="8">
        <v>21803.0</v>
      </c>
      <c r="D221" s="8" t="s">
        <v>27</v>
      </c>
      <c r="E221" s="8" t="s">
        <v>82</v>
      </c>
      <c r="G221" s="8">
        <v>3726.0</v>
      </c>
      <c r="H221" s="8" t="s">
        <v>45</v>
      </c>
      <c r="K221" s="8" t="s">
        <v>58</v>
      </c>
      <c r="L221" s="8" t="s">
        <v>31</v>
      </c>
      <c r="M221" s="8" t="s">
        <v>34</v>
      </c>
      <c r="N221" s="8"/>
      <c r="O221" s="8"/>
      <c r="P221" s="9">
        <v>44108.0</v>
      </c>
      <c r="Q221" s="10">
        <v>0.010416666664241347</v>
      </c>
      <c r="R221" s="11" t="str">
        <f t="shared" si="1"/>
        <v>Настройка установщиков</v>
      </c>
      <c r="S221" s="16" t="str">
        <f>iferror(VLOOKUP(C221,'ФИО'!A:B,2,0),"учётный код не найден")</f>
        <v>Белоглазова Виктория Сергеевна</v>
      </c>
      <c r="T221" s="13" t="str">
        <f t="shared" si="2"/>
        <v>ПУ метки i95</v>
      </c>
      <c r="U221" s="8">
        <v>0.0</v>
      </c>
      <c r="V221" s="8">
        <v>0.0</v>
      </c>
      <c r="W221" s="21" t="str">
        <f t="shared" si="27"/>
        <v>Данные не заполены</v>
      </c>
      <c r="X221" s="15" t="str">
        <f t="shared" si="22"/>
        <v>Данные не заполены</v>
      </c>
      <c r="Y221" s="15">
        <f t="shared" si="23"/>
        <v>0</v>
      </c>
    </row>
    <row r="222" hidden="1">
      <c r="A222" s="7">
        <v>44113.813650358796</v>
      </c>
      <c r="B222" s="8" t="s">
        <v>26</v>
      </c>
      <c r="C222" s="8">
        <v>21803.0</v>
      </c>
      <c r="D222" s="8" t="s">
        <v>27</v>
      </c>
      <c r="E222" s="8" t="s">
        <v>82</v>
      </c>
      <c r="G222" s="8">
        <v>3750.0</v>
      </c>
      <c r="H222" s="8" t="s">
        <v>45</v>
      </c>
      <c r="K222" s="8" t="s">
        <v>46</v>
      </c>
      <c r="L222" s="8" t="s">
        <v>31</v>
      </c>
      <c r="M222" s="8" t="s">
        <v>34</v>
      </c>
      <c r="N222" s="8"/>
      <c r="O222" s="8"/>
      <c r="P222" s="9">
        <v>44113.0</v>
      </c>
      <c r="Q222" s="10">
        <v>0.04166666666424135</v>
      </c>
      <c r="R222" s="11" t="str">
        <f t="shared" si="1"/>
        <v>Настройка установщиков</v>
      </c>
      <c r="S222" s="16" t="str">
        <f>iferror(VLOOKUP(C222,'ФИО'!A:B,2,0),"учётный код не найден")</f>
        <v>Белоглазова Виктория Сергеевна</v>
      </c>
      <c r="T222" s="13" t="str">
        <f t="shared" si="2"/>
        <v>ПУ 910-00349.A "Печатный узел основного блока E96 4LIN"</v>
      </c>
      <c r="U222" s="8">
        <v>0.0</v>
      </c>
      <c r="V222" s="8">
        <v>0.0</v>
      </c>
      <c r="W222" s="21" t="str">
        <f t="shared" si="27"/>
        <v>Данные не заполены</v>
      </c>
      <c r="X222" s="15" t="str">
        <f t="shared" si="22"/>
        <v>Данные не заполены</v>
      </c>
      <c r="Y222" s="15">
        <f t="shared" si="23"/>
        <v>0</v>
      </c>
    </row>
    <row r="223" hidden="1">
      <c r="A223" s="7">
        <v>44125.31348668982</v>
      </c>
      <c r="B223" s="8" t="s">
        <v>38</v>
      </c>
      <c r="C223" s="8">
        <v>21803.0</v>
      </c>
      <c r="D223" s="8" t="s">
        <v>27</v>
      </c>
      <c r="E223" s="8" t="s">
        <v>82</v>
      </c>
      <c r="G223" s="8">
        <v>3253.0</v>
      </c>
      <c r="H223" s="8" t="s">
        <v>45</v>
      </c>
      <c r="K223" s="8" t="s">
        <v>52</v>
      </c>
      <c r="L223" s="8" t="s">
        <v>31</v>
      </c>
      <c r="M223" s="8" t="s">
        <v>34</v>
      </c>
      <c r="P223" s="9">
        <v>44124.0</v>
      </c>
      <c r="Q223" s="10">
        <v>0.020833333335758653</v>
      </c>
      <c r="R223" s="11" t="str">
        <f t="shared" si="1"/>
        <v>Настройка установщиков</v>
      </c>
      <c r="S223" s="16" t="str">
        <f>iferror(VLOOKUP(C223,'ФИО'!A:B,2,0),"учётный код не найден")</f>
        <v>Белоглазова Виктория Сергеевна</v>
      </c>
      <c r="T223" s="13" t="str">
        <f t="shared" si="2"/>
        <v>М17V2 (900-00018.D)_910-00023.H и ПУ 910-00012.I</v>
      </c>
      <c r="U223" s="8">
        <v>0.0</v>
      </c>
      <c r="V223" s="8">
        <v>0.0</v>
      </c>
      <c r="X223" s="14" t="str">
        <f t="shared" si="22"/>
        <v>Данные не заполены</v>
      </c>
      <c r="Y223" s="15">
        <f t="shared" si="23"/>
        <v>0</v>
      </c>
    </row>
    <row r="224" hidden="1">
      <c r="A224" s="7">
        <v>44105.80784415509</v>
      </c>
      <c r="B224" s="8" t="s">
        <v>26</v>
      </c>
      <c r="C224" s="8">
        <v>21803.0</v>
      </c>
      <c r="D224" s="18" t="s">
        <v>69</v>
      </c>
      <c r="F224" s="8" t="s">
        <v>106</v>
      </c>
      <c r="G224" s="18">
        <v>3419.0</v>
      </c>
      <c r="H224" s="8" t="s">
        <v>29</v>
      </c>
      <c r="I224" s="8" t="s">
        <v>75</v>
      </c>
      <c r="L224" s="18" t="s">
        <v>31</v>
      </c>
      <c r="M224" s="8" t="s">
        <v>34</v>
      </c>
      <c r="N224" s="8"/>
      <c r="O224" s="8"/>
      <c r="P224" s="19">
        <v>44105.0</v>
      </c>
      <c r="Q224" s="20">
        <v>0.04166666666424135</v>
      </c>
      <c r="R224" s="13" t="str">
        <f t="shared" si="1"/>
        <v>Настройка SEHO PRI</v>
      </c>
      <c r="S224" s="16" t="str">
        <f>iferror(VLOOKUP(C224,'ФИО'!A:B,2,0),"учётный код не найден")</f>
        <v>Белоглазова Виктория Сергеевна</v>
      </c>
      <c r="T224" s="13" t="str">
        <f t="shared" si="2"/>
        <v>ПБУИК-37В ASLB_758726_011r1 (Квант)</v>
      </c>
      <c r="U224" s="8">
        <v>0.0</v>
      </c>
      <c r="V224" s="8">
        <v>0.0</v>
      </c>
      <c r="W224" s="21" t="str">
        <f t="shared" ref="W224:W230" si="28">IFERROR((((38412/(ifs(O224&lt;35,35,O224&gt;34,O224)/N224)*0.7))),"Данные не заполены")</f>
        <v>Данные не заполены</v>
      </c>
      <c r="X224" s="15" t="str">
        <f t="shared" si="22"/>
        <v>Данные не заполены</v>
      </c>
      <c r="Y224" s="15">
        <f t="shared" si="23"/>
        <v>0</v>
      </c>
    </row>
    <row r="225" hidden="1">
      <c r="A225" s="7">
        <v>44108.325196412035</v>
      </c>
      <c r="B225" s="8" t="s">
        <v>38</v>
      </c>
      <c r="C225" s="8">
        <v>21803.0</v>
      </c>
      <c r="D225" s="8" t="s">
        <v>69</v>
      </c>
      <c r="F225" s="8" t="s">
        <v>106</v>
      </c>
      <c r="G225" s="8">
        <v>3047.0</v>
      </c>
      <c r="H225" s="8" t="s">
        <v>29</v>
      </c>
      <c r="I225" s="8" t="s">
        <v>77</v>
      </c>
      <c r="L225" s="8" t="s">
        <v>31</v>
      </c>
      <c r="M225" s="8" t="s">
        <v>34</v>
      </c>
      <c r="N225" s="8"/>
      <c r="O225" s="8"/>
      <c r="P225" s="9">
        <v>44107.0</v>
      </c>
      <c r="Q225" s="10">
        <v>0.020833333335758653</v>
      </c>
      <c r="R225" s="11" t="str">
        <f t="shared" si="1"/>
        <v>Настройка SEHO PRI</v>
      </c>
      <c r="S225" s="16" t="str">
        <f>iferror(VLOOKUP(C225,'ФИО'!A:B,2,0),"учётный код не найден")</f>
        <v>Белоглазова Виктория Сергеевна</v>
      </c>
      <c r="T225" s="13" t="str">
        <f t="shared" si="2"/>
        <v>915-00081.A-Модуль Трик8 (Кибертех)</v>
      </c>
      <c r="U225" s="8">
        <v>0.0</v>
      </c>
      <c r="V225" s="8">
        <v>0.0</v>
      </c>
      <c r="W225" s="21" t="str">
        <f t="shared" si="28"/>
        <v>Данные не заполены</v>
      </c>
      <c r="X225" s="15" t="str">
        <f t="shared" si="22"/>
        <v>Данные не заполены</v>
      </c>
      <c r="Y225" s="15">
        <f t="shared" si="23"/>
        <v>0</v>
      </c>
    </row>
    <row r="226" hidden="1">
      <c r="A226" s="7">
        <v>44108.32678942129</v>
      </c>
      <c r="B226" s="8" t="s">
        <v>38</v>
      </c>
      <c r="C226" s="8">
        <v>21803.0</v>
      </c>
      <c r="D226" s="8" t="s">
        <v>69</v>
      </c>
      <c r="F226" s="8" t="s">
        <v>106</v>
      </c>
      <c r="G226" s="8">
        <v>3579.0</v>
      </c>
      <c r="H226" s="8" t="s">
        <v>29</v>
      </c>
      <c r="I226" s="8" t="s">
        <v>42</v>
      </c>
      <c r="L226" s="8" t="s">
        <v>31</v>
      </c>
      <c r="M226" s="8" t="s">
        <v>144</v>
      </c>
      <c r="N226" s="8"/>
      <c r="O226" s="8"/>
      <c r="P226" s="9">
        <v>44107.0</v>
      </c>
      <c r="Q226" s="10">
        <v>0.0625</v>
      </c>
      <c r="R226" s="11" t="str">
        <f t="shared" si="1"/>
        <v>Настройка SEHO PRI</v>
      </c>
      <c r="S226" s="16" t="str">
        <f>iferror(VLOOKUP(C226,'ФИО'!A:B,2,0),"учётный код не найден")</f>
        <v>Белоглазова Виктория Сергеевна</v>
      </c>
      <c r="T226" s="13" t="str">
        <f t="shared" si="2"/>
        <v>915-00070.A - Модуль телематики ТМ1 v3 (Сознательные машины)</v>
      </c>
      <c r="U226" s="8">
        <v>0.0</v>
      </c>
      <c r="V226" s="8">
        <v>0.0</v>
      </c>
      <c r="W226" s="21" t="str">
        <f t="shared" si="28"/>
        <v>Данные не заполены</v>
      </c>
      <c r="X226" s="15" t="str">
        <f t="shared" si="22"/>
        <v>Данные не заполены</v>
      </c>
      <c r="Y226" s="15">
        <f t="shared" si="23"/>
        <v>0</v>
      </c>
    </row>
    <row r="227" hidden="1">
      <c r="A227" s="7">
        <v>44109.31237559028</v>
      </c>
      <c r="B227" s="8" t="s">
        <v>38</v>
      </c>
      <c r="C227" s="8">
        <v>21803.0</v>
      </c>
      <c r="D227" s="8" t="s">
        <v>69</v>
      </c>
      <c r="F227" s="8" t="s">
        <v>106</v>
      </c>
      <c r="G227" s="8">
        <v>3047.0</v>
      </c>
      <c r="H227" s="8" t="s">
        <v>29</v>
      </c>
      <c r="I227" s="8" t="s">
        <v>77</v>
      </c>
      <c r="L227" s="8" t="s">
        <v>31</v>
      </c>
      <c r="M227" s="8" t="s">
        <v>34</v>
      </c>
      <c r="N227" s="8"/>
      <c r="O227" s="8"/>
      <c r="P227" s="9">
        <v>44108.0</v>
      </c>
      <c r="Q227" s="10">
        <v>0.020833333335758653</v>
      </c>
      <c r="R227" s="11" t="str">
        <f t="shared" si="1"/>
        <v>Настройка SEHO PRI</v>
      </c>
      <c r="S227" s="16" t="str">
        <f>iferror(VLOOKUP(C227,'ФИО'!A:B,2,0),"учётный код не найден")</f>
        <v>Белоглазова Виктория Сергеевна</v>
      </c>
      <c r="T227" s="13" t="str">
        <f t="shared" si="2"/>
        <v>915-00081.A-Модуль Трик8 (Кибертех)</v>
      </c>
      <c r="U227" s="8">
        <v>0.0</v>
      </c>
      <c r="V227" s="8">
        <v>0.0</v>
      </c>
      <c r="W227" s="21" t="str">
        <f t="shared" si="28"/>
        <v>Данные не заполены</v>
      </c>
      <c r="X227" s="15" t="str">
        <f t="shared" si="22"/>
        <v>Данные не заполены</v>
      </c>
      <c r="Y227" s="15">
        <f t="shared" si="23"/>
        <v>0</v>
      </c>
    </row>
    <row r="228" hidden="1">
      <c r="A228" s="7">
        <v>44120.82488621528</v>
      </c>
      <c r="B228" s="8" t="s">
        <v>26</v>
      </c>
      <c r="C228" s="8">
        <v>21475.0</v>
      </c>
      <c r="D228" s="8" t="s">
        <v>27</v>
      </c>
      <c r="E228" s="8" t="s">
        <v>57</v>
      </c>
      <c r="G228" s="8">
        <v>3649.0</v>
      </c>
      <c r="H228" s="8" t="s">
        <v>29</v>
      </c>
      <c r="I228" s="8" t="s">
        <v>33</v>
      </c>
      <c r="L228" s="8" t="s">
        <v>31</v>
      </c>
      <c r="M228" s="8" t="s">
        <v>34</v>
      </c>
      <c r="P228" s="9">
        <v>44120.0</v>
      </c>
      <c r="Q228" s="10">
        <v>0.04166666666424135</v>
      </c>
      <c r="R228" s="11" t="str">
        <f t="shared" si="1"/>
        <v>Настройка линии Primary</v>
      </c>
      <c r="S228" s="16" t="str">
        <f>iferror(VLOOKUP(C228,'ФИО'!A:B,2,0),"учётный код не найден")</f>
        <v>Байрамашвили Альберт Зурабович</v>
      </c>
      <c r="T228" s="13" t="str">
        <f t="shared" si="2"/>
        <v>ssfp2.2 (Метротек)</v>
      </c>
      <c r="U228" s="8">
        <v>0.0</v>
      </c>
      <c r="V228" s="8">
        <v>0.0</v>
      </c>
      <c r="W228" s="17" t="str">
        <f t="shared" si="28"/>
        <v>Данные не заполены</v>
      </c>
      <c r="X228" s="14" t="str">
        <f t="shared" si="22"/>
        <v>Данные не заполены</v>
      </c>
      <c r="Y228" s="15">
        <f t="shared" si="23"/>
        <v>0</v>
      </c>
    </row>
    <row r="229" hidden="1">
      <c r="A229" s="7">
        <v>44109.328725266205</v>
      </c>
      <c r="B229" s="8" t="s">
        <v>38</v>
      </c>
      <c r="C229" s="8">
        <v>21475.0</v>
      </c>
      <c r="D229" s="8" t="s">
        <v>27</v>
      </c>
      <c r="E229" s="8" t="s">
        <v>101</v>
      </c>
      <c r="G229" s="8">
        <v>3726.0</v>
      </c>
      <c r="H229" s="8" t="s">
        <v>45</v>
      </c>
      <c r="K229" s="8" t="s">
        <v>58</v>
      </c>
      <c r="L229" s="8" t="s">
        <v>31</v>
      </c>
      <c r="M229" s="8" t="s">
        <v>34</v>
      </c>
      <c r="N229" s="8"/>
      <c r="O229" s="8"/>
      <c r="P229" s="9">
        <v>44108.0</v>
      </c>
      <c r="Q229" s="10">
        <v>0.04166666666424135</v>
      </c>
      <c r="R229" s="11" t="str">
        <f t="shared" si="1"/>
        <v>Настройка принтера Prim</v>
      </c>
      <c r="S229" s="16" t="str">
        <f>iferror(VLOOKUP(C229,'ФИО'!A:B,2,0),"учётный код не найден")</f>
        <v>Байрамашвили Альберт Зурабович</v>
      </c>
      <c r="T229" s="13" t="str">
        <f t="shared" si="2"/>
        <v>ПУ метки i95</v>
      </c>
      <c r="U229" s="8">
        <v>0.0</v>
      </c>
      <c r="V229" s="8">
        <v>0.0</v>
      </c>
      <c r="W229" s="21" t="str">
        <f t="shared" si="28"/>
        <v>Данные не заполены</v>
      </c>
      <c r="X229" s="15" t="str">
        <f t="shared" si="22"/>
        <v>Данные не заполены</v>
      </c>
      <c r="Y229" s="15">
        <f t="shared" si="23"/>
        <v>0</v>
      </c>
    </row>
    <row r="230" hidden="1">
      <c r="A230" s="7">
        <v>44120.81872944444</v>
      </c>
      <c r="B230" s="8" t="s">
        <v>26</v>
      </c>
      <c r="C230" s="8">
        <v>21475.0</v>
      </c>
      <c r="D230" s="8" t="s">
        <v>27</v>
      </c>
      <c r="E230" s="8" t="s">
        <v>84</v>
      </c>
      <c r="G230" s="8">
        <v>3649.0</v>
      </c>
      <c r="H230" s="8" t="s">
        <v>29</v>
      </c>
      <c r="I230" s="8" t="s">
        <v>33</v>
      </c>
      <c r="L230" s="8" t="s">
        <v>31</v>
      </c>
      <c r="M230" s="8" t="s">
        <v>34</v>
      </c>
      <c r="P230" s="9">
        <v>44120.0</v>
      </c>
      <c r="Q230" s="10">
        <v>0.04166666666424135</v>
      </c>
      <c r="R230" s="11" t="str">
        <f t="shared" si="1"/>
        <v>Настройка принтера Sec</v>
      </c>
      <c r="S230" s="16" t="str">
        <f>iferror(VLOOKUP(C230,'ФИО'!A:B,2,0),"учётный код не найден")</f>
        <v>Байрамашвили Альберт Зурабович</v>
      </c>
      <c r="T230" s="13" t="str">
        <f t="shared" si="2"/>
        <v>ssfp2.2 (Метротек)</v>
      </c>
      <c r="U230" s="8">
        <v>0.0</v>
      </c>
      <c r="V230" s="8">
        <v>0.0</v>
      </c>
      <c r="W230" s="17" t="str">
        <f t="shared" si="28"/>
        <v>Данные не заполены</v>
      </c>
      <c r="X230" s="14" t="str">
        <f t="shared" si="22"/>
        <v>Данные не заполены</v>
      </c>
      <c r="Y230" s="15">
        <f t="shared" si="23"/>
        <v>0</v>
      </c>
    </row>
    <row r="231" hidden="1">
      <c r="A231" s="7">
        <v>44133.32117643519</v>
      </c>
      <c r="B231" s="8" t="s">
        <v>38</v>
      </c>
      <c r="C231" s="8">
        <v>21475.0</v>
      </c>
      <c r="D231" s="8" t="s">
        <v>27</v>
      </c>
      <c r="E231" s="8" t="s">
        <v>84</v>
      </c>
      <c r="G231" s="8">
        <v>3802.0</v>
      </c>
      <c r="H231" s="8" t="s">
        <v>45</v>
      </c>
      <c r="K231" s="8" t="s">
        <v>120</v>
      </c>
      <c r="L231" s="8" t="s">
        <v>31</v>
      </c>
      <c r="M231" s="8" t="s">
        <v>34</v>
      </c>
      <c r="P231" s="9">
        <v>44132.0</v>
      </c>
      <c r="Q231" s="10">
        <v>0.020833333335758653</v>
      </c>
      <c r="R231" s="11" t="str">
        <f t="shared" si="1"/>
        <v>Настройка принтера Sec</v>
      </c>
      <c r="S231" s="12" t="str">
        <f>iferror(VLOOKUP(C231,'ФИО'!A:B,2,0),"учётный код не найден")</f>
        <v>Байрамашвили Альберт Зурабович</v>
      </c>
      <c r="T231" s="13" t="str">
        <f t="shared" si="2"/>
        <v>М15ECO (900-00030.С) 910-00034.C/910-00041.C</v>
      </c>
      <c r="U231" s="8">
        <v>0.0</v>
      </c>
      <c r="V231" s="8">
        <v>0.0</v>
      </c>
      <c r="X231" s="14" t="str">
        <f t="shared" si="22"/>
        <v>Данные не заполены</v>
      </c>
      <c r="Y231" s="15">
        <f t="shared" si="23"/>
        <v>0</v>
      </c>
    </row>
    <row r="232" hidden="1">
      <c r="A232" s="7">
        <v>44133.31567136574</v>
      </c>
      <c r="B232" s="8" t="s">
        <v>38</v>
      </c>
      <c r="C232" s="8">
        <v>21475.0</v>
      </c>
      <c r="D232" s="8" t="s">
        <v>27</v>
      </c>
      <c r="E232" s="8" t="s">
        <v>82</v>
      </c>
      <c r="G232" s="8">
        <v>3802.0</v>
      </c>
      <c r="H232" s="8" t="s">
        <v>45</v>
      </c>
      <c r="K232" s="8" t="s">
        <v>120</v>
      </c>
      <c r="L232" s="8" t="s">
        <v>31</v>
      </c>
      <c r="M232" s="8" t="s">
        <v>34</v>
      </c>
      <c r="P232" s="9">
        <v>44132.0</v>
      </c>
      <c r="Q232" s="10">
        <v>0.020833333335758653</v>
      </c>
      <c r="R232" s="11" t="str">
        <f t="shared" si="1"/>
        <v>Настройка установщиков</v>
      </c>
      <c r="S232" s="12" t="str">
        <f>iferror(VLOOKUP(C232,'ФИО'!A:B,2,0),"учётный код не найден")</f>
        <v>Байрамашвили Альберт Зурабович</v>
      </c>
      <c r="T232" s="13" t="str">
        <f t="shared" si="2"/>
        <v>М15ECO (900-00030.С) 910-00034.C/910-00041.C</v>
      </c>
      <c r="U232" s="8">
        <v>0.0</v>
      </c>
      <c r="V232" s="8">
        <v>0.0</v>
      </c>
      <c r="X232" s="14" t="str">
        <f t="shared" si="22"/>
        <v>Данные не заполены</v>
      </c>
      <c r="Y232" s="15">
        <f t="shared" si="23"/>
        <v>0</v>
      </c>
    </row>
    <row r="233" ht="17.25" hidden="1" customHeight="1">
      <c r="A233" s="7">
        <v>44113.81313473379</v>
      </c>
      <c r="B233" s="8" t="s">
        <v>26</v>
      </c>
      <c r="C233" s="8">
        <v>21475.0</v>
      </c>
      <c r="D233" s="8" t="s">
        <v>69</v>
      </c>
      <c r="F233" s="8" t="s">
        <v>106</v>
      </c>
      <c r="G233" s="8">
        <v>3579.0</v>
      </c>
      <c r="H233" s="8" t="s">
        <v>29</v>
      </c>
      <c r="I233" s="8" t="s">
        <v>42</v>
      </c>
      <c r="L233" s="8" t="s">
        <v>31</v>
      </c>
      <c r="M233" s="8" t="s">
        <v>34</v>
      </c>
      <c r="N233" s="8"/>
      <c r="O233" s="8"/>
      <c r="P233" s="9">
        <v>44113.0</v>
      </c>
      <c r="Q233" s="10">
        <v>0.04166666666424135</v>
      </c>
      <c r="R233" s="11" t="str">
        <f t="shared" si="1"/>
        <v>Настройка SEHO PRI</v>
      </c>
      <c r="S233" s="16" t="str">
        <f>iferror(VLOOKUP(C233,'ФИО'!A:B,2,0),"учётный код не найден")</f>
        <v>Байрамашвили Альберт Зурабович</v>
      </c>
      <c r="T233" s="13" t="str">
        <f t="shared" si="2"/>
        <v>915-00070.A - Модуль телематики ТМ1 v3 (Сознательные машины)</v>
      </c>
      <c r="U233" s="8">
        <v>0.0</v>
      </c>
      <c r="V233" s="8">
        <v>0.0</v>
      </c>
      <c r="W233" s="21" t="str">
        <f t="shared" ref="W233:W238" si="29">IFERROR((((38412/(ifs(O233&lt;35,35,O233&gt;34,O233)/N233)*0.7))),"Данные не заполены")</f>
        <v>Данные не заполены</v>
      </c>
      <c r="X233" s="15" t="str">
        <f t="shared" si="22"/>
        <v>Данные не заполены</v>
      </c>
      <c r="Y233" s="15">
        <f t="shared" si="23"/>
        <v>0</v>
      </c>
    </row>
    <row r="234" hidden="1">
      <c r="A234" s="7">
        <v>44113.82080306713</v>
      </c>
      <c r="B234" s="8" t="s">
        <v>26</v>
      </c>
      <c r="C234" s="8">
        <v>21475.0</v>
      </c>
      <c r="D234" s="8" t="s">
        <v>69</v>
      </c>
      <c r="F234" s="8" t="s">
        <v>106</v>
      </c>
      <c r="G234" s="8">
        <v>3580.0</v>
      </c>
      <c r="H234" s="8" t="s">
        <v>29</v>
      </c>
      <c r="I234" s="8" t="s">
        <v>145</v>
      </c>
      <c r="L234" s="8" t="s">
        <v>31</v>
      </c>
      <c r="M234" s="8" t="s">
        <v>34</v>
      </c>
      <c r="N234" s="8"/>
      <c r="O234" s="8"/>
      <c r="P234" s="9">
        <v>44113.0</v>
      </c>
      <c r="Q234" s="10">
        <v>0.0625</v>
      </c>
      <c r="R234" s="11" t="str">
        <f t="shared" si="1"/>
        <v>Настройка SEHO PRI</v>
      </c>
      <c r="S234" s="16" t="str">
        <f>iferror(VLOOKUP(C234,'ФИО'!A:B,2,0),"учётный код не найден")</f>
        <v>Байрамашвили Альберт Зурабович</v>
      </c>
      <c r="T234" s="13" t="str">
        <f t="shared" si="2"/>
        <v>XR (OÜ KLARBERG)</v>
      </c>
      <c r="U234" s="8">
        <v>0.0</v>
      </c>
      <c r="V234" s="8">
        <v>0.0</v>
      </c>
      <c r="W234" s="21" t="str">
        <f t="shared" si="29"/>
        <v>Данные не заполены</v>
      </c>
      <c r="X234" s="15" t="str">
        <f t="shared" si="22"/>
        <v>Данные не заполены</v>
      </c>
      <c r="Y234" s="15">
        <f t="shared" si="23"/>
        <v>0</v>
      </c>
    </row>
    <row r="235" hidden="1">
      <c r="A235" s="7">
        <v>44112.330261967596</v>
      </c>
      <c r="B235" s="8" t="s">
        <v>126</v>
      </c>
      <c r="C235" s="8">
        <v>22574.0</v>
      </c>
      <c r="D235" s="8" t="s">
        <v>27</v>
      </c>
      <c r="E235" s="8" t="s">
        <v>28</v>
      </c>
      <c r="G235" s="8">
        <v>3238.0</v>
      </c>
      <c r="H235" s="8" t="s">
        <v>29</v>
      </c>
      <c r="I235" s="8" t="s">
        <v>43</v>
      </c>
      <c r="L235" s="8" t="s">
        <v>31</v>
      </c>
      <c r="M235" s="8" t="s">
        <v>34</v>
      </c>
      <c r="N235" s="8"/>
      <c r="O235" s="8"/>
      <c r="P235" s="9">
        <v>44111.0</v>
      </c>
      <c r="Q235" s="10">
        <v>0.0625</v>
      </c>
      <c r="R235" s="11" t="str">
        <f t="shared" si="1"/>
        <v>Выполнение дополнительных работ на линии</v>
      </c>
      <c r="S235" s="16" t="str">
        <f>iferror(VLOOKUP(C235,'ФИО'!A:B,2,0),"учётный код не найден")</f>
        <v>Шапенков Геннадий Михайлович</v>
      </c>
      <c r="T235" s="13" t="str">
        <f t="shared" si="2"/>
        <v>915-00097.A - ПКД-8В-3 АСЛБ.467249.110 (Квант)</v>
      </c>
      <c r="U235" s="8">
        <v>0.0</v>
      </c>
      <c r="V235" s="8">
        <v>0.0</v>
      </c>
      <c r="W235" s="21" t="str">
        <f t="shared" si="29"/>
        <v>Данные не заполены</v>
      </c>
      <c r="X235" s="15" t="str">
        <f t="shared" si="22"/>
        <v>Данные не заполены</v>
      </c>
      <c r="Y235" s="15">
        <f t="shared" si="23"/>
        <v>0</v>
      </c>
    </row>
    <row r="236" hidden="1">
      <c r="A236" s="7">
        <v>44112.87726028935</v>
      </c>
      <c r="B236" s="8" t="s">
        <v>126</v>
      </c>
      <c r="C236" s="8">
        <v>21927.0</v>
      </c>
      <c r="D236" s="8" t="s">
        <v>27</v>
      </c>
      <c r="E236" s="8" t="s">
        <v>28</v>
      </c>
      <c r="G236" s="8">
        <v>3238.0</v>
      </c>
      <c r="H236" s="8" t="s">
        <v>29</v>
      </c>
      <c r="I236" s="8" t="s">
        <v>95</v>
      </c>
      <c r="L236" s="8" t="s">
        <v>31</v>
      </c>
      <c r="M236" s="8" t="s">
        <v>34</v>
      </c>
      <c r="N236" s="8"/>
      <c r="O236" s="8"/>
      <c r="P236" s="9">
        <v>44111.0</v>
      </c>
      <c r="Q236" s="10">
        <v>0.14583333333575865</v>
      </c>
      <c r="R236" s="11" t="str">
        <f t="shared" si="1"/>
        <v>Выполнение дополнительных работ на линии</v>
      </c>
      <c r="S236" s="16" t="str">
        <f>iferror(VLOOKUP(C236,'ФИО'!A:B,2,0),"учётный код не найден")</f>
        <v>Шергин Родион Олегович</v>
      </c>
      <c r="T236" s="13" t="str">
        <f t="shared" si="2"/>
        <v>915-00095.A - ПКД-8В-1 АСЛБ.467249.108 (Квант)</v>
      </c>
      <c r="U236" s="8">
        <v>0.0</v>
      </c>
      <c r="V236" s="8">
        <v>0.0</v>
      </c>
      <c r="W236" s="21" t="str">
        <f t="shared" si="29"/>
        <v>Данные не заполены</v>
      </c>
      <c r="X236" s="15" t="str">
        <f t="shared" si="22"/>
        <v>Данные не заполены</v>
      </c>
      <c r="Y236" s="15">
        <f t="shared" si="23"/>
        <v>0</v>
      </c>
    </row>
    <row r="237" hidden="1">
      <c r="A237" s="7">
        <v>44113.33273538195</v>
      </c>
      <c r="B237" s="8" t="s">
        <v>126</v>
      </c>
      <c r="C237" s="8">
        <v>21927.0</v>
      </c>
      <c r="D237" s="8" t="s">
        <v>27</v>
      </c>
      <c r="E237" s="8" t="s">
        <v>28</v>
      </c>
      <c r="G237" s="8">
        <v>3580.0</v>
      </c>
      <c r="H237" s="8" t="s">
        <v>29</v>
      </c>
      <c r="I237" s="8" t="s">
        <v>146</v>
      </c>
      <c r="L237" s="8" t="s">
        <v>31</v>
      </c>
      <c r="M237" s="8" t="s">
        <v>34</v>
      </c>
      <c r="N237" s="8"/>
      <c r="O237" s="8"/>
      <c r="P237" s="9">
        <v>44112.0</v>
      </c>
      <c r="Q237" s="10">
        <v>0.0625</v>
      </c>
      <c r="R237" s="11" t="str">
        <f t="shared" si="1"/>
        <v>Выполнение дополнительных работ на линии</v>
      </c>
      <c r="S237" s="16" t="str">
        <f>iferror(VLOOKUP(C237,'ФИО'!A:B,2,0),"учётный код не найден")</f>
        <v>Шергин Родион Олегович</v>
      </c>
      <c r="T237" s="13" t="str">
        <f t="shared" si="2"/>
        <v>XR (Термотроник)</v>
      </c>
      <c r="U237" s="8">
        <v>0.0</v>
      </c>
      <c r="V237" s="8">
        <v>0.0</v>
      </c>
      <c r="W237" s="21" t="str">
        <f t="shared" si="29"/>
        <v>Данные не заполены</v>
      </c>
      <c r="X237" s="15" t="str">
        <f t="shared" si="22"/>
        <v>Данные не заполены</v>
      </c>
      <c r="Y237" s="15">
        <f t="shared" si="23"/>
        <v>0</v>
      </c>
    </row>
    <row r="238" hidden="1">
      <c r="A238" s="7">
        <v>44109.94606869213</v>
      </c>
      <c r="B238" s="8" t="s">
        <v>127</v>
      </c>
      <c r="C238" s="8">
        <v>60000.0</v>
      </c>
      <c r="D238" s="8" t="s">
        <v>69</v>
      </c>
      <c r="F238" s="8" t="s">
        <v>80</v>
      </c>
      <c r="G238" s="8">
        <v>3232.0</v>
      </c>
      <c r="H238" s="8" t="s">
        <v>29</v>
      </c>
      <c r="I238" s="8" t="s">
        <v>60</v>
      </c>
      <c r="L238" s="8" t="s">
        <v>37</v>
      </c>
      <c r="P238" s="9">
        <v>44108.0</v>
      </c>
      <c r="Q238" s="10">
        <v>0.020833333335758653</v>
      </c>
      <c r="R238" s="11" t="str">
        <f t="shared" si="1"/>
        <v>Пайка компонентов SEC</v>
      </c>
      <c r="S238" s="12" t="str">
        <f>iferror(VLOOKUP(C238,'ФИО'!A:B,2,0),"учётный код не найден")</f>
        <v>THT</v>
      </c>
      <c r="T238" s="11" t="str">
        <f t="shared" si="2"/>
        <v>915-00102.A - ПБОК-2В АСЛБ.465285.013 (Квант)</v>
      </c>
      <c r="U238" s="8">
        <v>3.0</v>
      </c>
      <c r="V238" s="8">
        <v>0.0</v>
      </c>
      <c r="W238" s="21" t="str">
        <f t="shared" si="29"/>
        <v>Данные не заполены</v>
      </c>
      <c r="X238" s="15" t="str">
        <f t="shared" si="22"/>
        <v>Данные не заполены</v>
      </c>
      <c r="Y238" s="15">
        <f t="shared" si="23"/>
        <v>0</v>
      </c>
    </row>
    <row r="239" hidden="1">
      <c r="A239" s="7">
        <v>44120.31191898148</v>
      </c>
      <c r="B239" s="8" t="s">
        <v>126</v>
      </c>
      <c r="C239" s="8">
        <v>22574.0</v>
      </c>
      <c r="D239" s="8" t="s">
        <v>27</v>
      </c>
      <c r="E239" s="8" t="s">
        <v>28</v>
      </c>
      <c r="G239" s="8">
        <v>3253.0</v>
      </c>
      <c r="H239" s="8" t="s">
        <v>29</v>
      </c>
      <c r="I239" s="8" t="s">
        <v>95</v>
      </c>
      <c r="L239" s="8" t="s">
        <v>31</v>
      </c>
      <c r="M239" s="8" t="s">
        <v>147</v>
      </c>
      <c r="P239" s="9">
        <v>44119.0</v>
      </c>
      <c r="Q239" s="10">
        <v>0.020833333335758653</v>
      </c>
      <c r="R239" s="11" t="str">
        <f t="shared" si="1"/>
        <v>Выполнение дополнительных работ на линии</v>
      </c>
      <c r="S239" s="16" t="str">
        <f>iferror(VLOOKUP(C239,'ФИО'!A:B,2,0),"учётный код не найден")</f>
        <v>Шапенков Геннадий Михайлович</v>
      </c>
      <c r="T239" s="13" t="str">
        <f t="shared" si="2"/>
        <v>915-00095.A - ПКД-8В-1 АСЛБ.467249.108 (Квант)</v>
      </c>
      <c r="U239" s="8">
        <v>10.0</v>
      </c>
      <c r="V239" s="8">
        <v>0.0</v>
      </c>
    </row>
    <row r="240" hidden="1">
      <c r="A240" s="7">
        <v>44120.84418962963</v>
      </c>
      <c r="B240" s="8" t="s">
        <v>126</v>
      </c>
      <c r="C240" s="8">
        <v>21927.0</v>
      </c>
      <c r="D240" s="8" t="s">
        <v>27</v>
      </c>
      <c r="E240" s="8" t="s">
        <v>28</v>
      </c>
      <c r="G240" s="8">
        <v>3649.0</v>
      </c>
      <c r="H240" s="8" t="s">
        <v>29</v>
      </c>
      <c r="I240" s="8" t="s">
        <v>33</v>
      </c>
      <c r="L240" s="8" t="s">
        <v>31</v>
      </c>
      <c r="M240" s="8" t="s">
        <v>34</v>
      </c>
      <c r="P240" s="9">
        <v>44119.0</v>
      </c>
      <c r="Q240" s="10">
        <v>0.16666666666424135</v>
      </c>
      <c r="R240" s="11" t="str">
        <f t="shared" si="1"/>
        <v>Выполнение дополнительных работ на линии</v>
      </c>
      <c r="S240" s="16" t="str">
        <f>iferror(VLOOKUP(C240,'ФИО'!A:B,2,0),"учётный код не найден")</f>
        <v>Шергин Родион Олегович</v>
      </c>
      <c r="T240" s="13" t="str">
        <f t="shared" si="2"/>
        <v>ssfp2.2 (Метротек)</v>
      </c>
      <c r="U240" s="8">
        <v>0.0</v>
      </c>
      <c r="V240" s="8">
        <v>0.0</v>
      </c>
      <c r="W240" s="17" t="str">
        <f t="shared" ref="W240:W254" si="30">IFERROR((((38412/(ifs(O240&lt;35,35,O240&gt;34,O240)/N240)*0.7))),"Данные не заполены")</f>
        <v>Данные не заполены</v>
      </c>
      <c r="X240" s="14" t="str">
        <f t="shared" ref="X240:X663" si="31">IFERROR((((V240+U240)/Q240)/24)/(W240/11),"Данные не заполены")</f>
        <v>Данные не заполены</v>
      </c>
    </row>
    <row r="241" hidden="1">
      <c r="A241" s="7">
        <v>44121.333208310185</v>
      </c>
      <c r="B241" s="8" t="s">
        <v>126</v>
      </c>
      <c r="C241" s="8">
        <v>21927.0</v>
      </c>
      <c r="D241" s="8" t="s">
        <v>27</v>
      </c>
      <c r="E241" s="8" t="s">
        <v>28</v>
      </c>
      <c r="G241" s="8">
        <v>3754.0</v>
      </c>
      <c r="H241" s="8" t="s">
        <v>45</v>
      </c>
      <c r="K241" s="8" t="s">
        <v>119</v>
      </c>
      <c r="L241" s="8" t="s">
        <v>31</v>
      </c>
      <c r="M241" s="8" t="s">
        <v>34</v>
      </c>
      <c r="P241" s="9">
        <v>44120.0</v>
      </c>
      <c r="Q241" s="10">
        <v>0.07291666666424135</v>
      </c>
      <c r="R241" s="11" t="str">
        <f t="shared" si="1"/>
        <v>Выполнение дополнительных работ на линии</v>
      </c>
      <c r="S241" s="16" t="str">
        <f>iferror(VLOOKUP(C241,'ФИО'!A:B,2,0),"учётный код не найден")</f>
        <v>Шергин Родион Олегович</v>
      </c>
      <c r="T241" s="13" t="str">
        <f t="shared" si="2"/>
        <v>ПУ 910-00134.B (A96 модуль 2CAN+2LIN)</v>
      </c>
      <c r="U241" s="8">
        <v>0.0</v>
      </c>
      <c r="V241" s="8">
        <v>0.0</v>
      </c>
      <c r="W241" s="17" t="str">
        <f t="shared" si="30"/>
        <v>Данные не заполены</v>
      </c>
      <c r="X241" s="14" t="str">
        <f t="shared" si="31"/>
        <v>Данные не заполены</v>
      </c>
      <c r="Y241" s="15">
        <f t="shared" ref="Y241:Y358" si="32">iferror((V241/if(U241=0,1,U241)),0)</f>
        <v>0</v>
      </c>
    </row>
    <row r="242" hidden="1">
      <c r="A242" s="7">
        <v>44121.33415400463</v>
      </c>
      <c r="B242" s="8" t="s">
        <v>126</v>
      </c>
      <c r="C242" s="8">
        <v>21852.0</v>
      </c>
      <c r="D242" s="8" t="s">
        <v>27</v>
      </c>
      <c r="E242" s="8" t="s">
        <v>28</v>
      </c>
      <c r="G242" s="8">
        <v>3754.0</v>
      </c>
      <c r="H242" s="8" t="s">
        <v>45</v>
      </c>
      <c r="K242" s="8" t="s">
        <v>119</v>
      </c>
      <c r="L242" s="8" t="s">
        <v>31</v>
      </c>
      <c r="M242" s="8" t="s">
        <v>148</v>
      </c>
      <c r="P242" s="9">
        <v>44120.0</v>
      </c>
      <c r="Q242" s="10">
        <v>0.09722222221898846</v>
      </c>
      <c r="R242" s="11" t="str">
        <f t="shared" si="1"/>
        <v>Выполнение дополнительных работ на линии</v>
      </c>
      <c r="S242" s="16" t="str">
        <f>iferror(VLOOKUP(C242,'ФИО'!A:B,2,0),"учётный код не найден")</f>
        <v>Пономарев Юрий Андреевич</v>
      </c>
      <c r="T242" s="13" t="str">
        <f t="shared" si="2"/>
        <v>ПУ 910-00134.B (A96 модуль 2CAN+2LIN)</v>
      </c>
      <c r="U242" s="8">
        <v>0.0</v>
      </c>
      <c r="V242" s="8">
        <v>0.0</v>
      </c>
      <c r="W242" s="17" t="str">
        <f t="shared" si="30"/>
        <v>Данные не заполены</v>
      </c>
      <c r="X242" s="14" t="str">
        <f t="shared" si="31"/>
        <v>Данные не заполены</v>
      </c>
      <c r="Y242" s="15">
        <f t="shared" si="32"/>
        <v>0</v>
      </c>
    </row>
    <row r="243" hidden="1">
      <c r="A243" s="7">
        <v>44111.26859173611</v>
      </c>
      <c r="B243" s="8" t="s">
        <v>127</v>
      </c>
      <c r="C243" s="8">
        <v>60000.0</v>
      </c>
      <c r="D243" s="8" t="s">
        <v>27</v>
      </c>
      <c r="E243" s="8" t="s">
        <v>97</v>
      </c>
      <c r="G243" s="8">
        <v>3234.0</v>
      </c>
      <c r="H243" s="8" t="s">
        <v>29</v>
      </c>
      <c r="I243" s="8" t="s">
        <v>135</v>
      </c>
      <c r="L243" s="8" t="s">
        <v>31</v>
      </c>
      <c r="M243" s="8" t="s">
        <v>149</v>
      </c>
      <c r="N243" s="8"/>
      <c r="O243" s="8"/>
      <c r="P243" s="9">
        <v>44110.0</v>
      </c>
      <c r="Q243" s="10">
        <v>0.08333333333575865</v>
      </c>
      <c r="R243" s="11" t="str">
        <f t="shared" si="1"/>
        <v>Проверка плат на АОИ Prim</v>
      </c>
      <c r="S243" s="12" t="str">
        <f>iferror(VLOOKUP(C243,'ФИО'!A:B,2,0),"учётный код не найден")</f>
        <v>THT</v>
      </c>
      <c r="T243" s="11" t="str">
        <f t="shared" si="2"/>
        <v>915-00101.A - ПКД-9В АСЛБ.467249.107 (Квант)</v>
      </c>
      <c r="U243" s="8">
        <v>3.0</v>
      </c>
      <c r="V243" s="8">
        <v>65.0</v>
      </c>
      <c r="W243" s="21" t="str">
        <f t="shared" si="30"/>
        <v>Данные не заполены</v>
      </c>
      <c r="X243" s="15" t="str">
        <f t="shared" si="31"/>
        <v>Данные не заполены</v>
      </c>
      <c r="Y243" s="15">
        <f t="shared" si="32"/>
        <v>21.66666667</v>
      </c>
    </row>
    <row r="244" hidden="1">
      <c r="A244" s="7">
        <v>44137.32853760417</v>
      </c>
      <c r="B244" s="8" t="s">
        <v>126</v>
      </c>
      <c r="C244" s="8">
        <v>60000.0</v>
      </c>
      <c r="D244" s="8" t="s">
        <v>69</v>
      </c>
      <c r="F244" s="8" t="s">
        <v>72</v>
      </c>
      <c r="G244" s="8">
        <v>3793.0</v>
      </c>
      <c r="H244" s="8" t="s">
        <v>29</v>
      </c>
      <c r="I244" s="8" t="s">
        <v>150</v>
      </c>
      <c r="L244" s="8" t="s">
        <v>37</v>
      </c>
      <c r="N244" s="8">
        <v>7.0</v>
      </c>
      <c r="O244" s="8">
        <v>260.0</v>
      </c>
      <c r="P244" s="9">
        <v>44136.0</v>
      </c>
      <c r="Q244" s="10">
        <v>0.41666666666424135</v>
      </c>
      <c r="R244" s="11" t="str">
        <f t="shared" si="1"/>
        <v>Пайка компонентов PRI</v>
      </c>
      <c r="S244" s="16" t="str">
        <f>iferror(VLOOKUP(C244,'ФИО'!A:B,2,0),"учётный код не найден")</f>
        <v>THT</v>
      </c>
      <c r="T244" s="11" t="str">
        <f t="shared" si="2"/>
        <v>UKLSiP(S)220_v3.00</v>
      </c>
      <c r="U244" s="8">
        <v>560.0</v>
      </c>
      <c r="V244" s="8">
        <v>28.0</v>
      </c>
      <c r="W244" s="17">
        <f t="shared" si="30"/>
        <v>723.9184615</v>
      </c>
      <c r="X244" s="14">
        <f t="shared" si="31"/>
        <v>0.8934707904</v>
      </c>
      <c r="Y244" s="15">
        <f t="shared" si="32"/>
        <v>0.05</v>
      </c>
    </row>
    <row r="245" hidden="1">
      <c r="A245" s="7">
        <v>44128.324756111106</v>
      </c>
      <c r="B245" s="8" t="s">
        <v>126</v>
      </c>
      <c r="C245" s="8">
        <v>22574.0</v>
      </c>
      <c r="D245" s="8" t="s">
        <v>27</v>
      </c>
      <c r="E245" s="8" t="s">
        <v>28</v>
      </c>
      <c r="G245" s="8">
        <v>3804.0</v>
      </c>
      <c r="H245" s="8" t="s">
        <v>45</v>
      </c>
      <c r="K245" s="8" t="s">
        <v>52</v>
      </c>
      <c r="L245" s="8" t="s">
        <v>31</v>
      </c>
      <c r="M245" s="8" t="s">
        <v>34</v>
      </c>
      <c r="P245" s="9">
        <v>44127.0</v>
      </c>
      <c r="Q245" s="10">
        <v>0.0625</v>
      </c>
      <c r="R245" s="11" t="str">
        <f t="shared" si="1"/>
        <v>Выполнение дополнительных работ на линии</v>
      </c>
      <c r="S245" s="16" t="str">
        <f>iferror(VLOOKUP(C245,'ФИО'!A:B,2,0),"учётный код не найден")</f>
        <v>Шапенков Геннадий Михайлович</v>
      </c>
      <c r="T245" s="13" t="str">
        <f t="shared" si="2"/>
        <v>М17V2 (900-00018.D)_910-00023.H и ПУ 910-00012.I</v>
      </c>
      <c r="U245" s="8">
        <v>0.0</v>
      </c>
      <c r="V245" s="8">
        <v>0.0</v>
      </c>
      <c r="W245" s="17" t="str">
        <f t="shared" si="30"/>
        <v>Данные не заполены</v>
      </c>
      <c r="X245" s="14" t="str">
        <f t="shared" si="31"/>
        <v>Данные не заполены</v>
      </c>
      <c r="Y245" s="15">
        <f t="shared" si="32"/>
        <v>0</v>
      </c>
    </row>
    <row r="246" hidden="1">
      <c r="A246" s="7">
        <v>44109.90784880787</v>
      </c>
      <c r="B246" s="8" t="s">
        <v>127</v>
      </c>
      <c r="C246" s="8">
        <v>21171.0</v>
      </c>
      <c r="D246" s="8" t="s">
        <v>27</v>
      </c>
      <c r="E246" s="8" t="s">
        <v>67</v>
      </c>
      <c r="G246" s="8">
        <v>3726.0</v>
      </c>
      <c r="H246" s="8" t="s">
        <v>45</v>
      </c>
      <c r="K246" s="8" t="s">
        <v>58</v>
      </c>
      <c r="L246" s="8" t="s">
        <v>37</v>
      </c>
      <c r="P246" s="9">
        <v>44109.0</v>
      </c>
      <c r="Q246" s="10">
        <v>0.1875</v>
      </c>
      <c r="R246" s="11" t="str">
        <f t="shared" si="1"/>
        <v>Сборка на линии Prim</v>
      </c>
      <c r="S246" s="22" t="s">
        <v>27</v>
      </c>
      <c r="T246" s="11" t="str">
        <f t="shared" si="2"/>
        <v>ПУ метки i95</v>
      </c>
      <c r="U246" s="8">
        <v>5088.0</v>
      </c>
      <c r="V246" s="8">
        <v>0.0</v>
      </c>
      <c r="W246" s="21" t="str">
        <f t="shared" si="30"/>
        <v>Данные не заполены</v>
      </c>
      <c r="X246" s="15" t="str">
        <f t="shared" si="31"/>
        <v>Данные не заполены</v>
      </c>
      <c r="Y246" s="15">
        <f t="shared" si="32"/>
        <v>0</v>
      </c>
      <c r="Z246" s="8" t="s">
        <v>151</v>
      </c>
    </row>
    <row r="247" hidden="1">
      <c r="A247" s="7">
        <v>44117.679614988425</v>
      </c>
      <c r="B247" s="8" t="s">
        <v>127</v>
      </c>
      <c r="C247" s="8">
        <v>50000.0</v>
      </c>
      <c r="D247" s="8" t="s">
        <v>27</v>
      </c>
      <c r="E247" s="8" t="s">
        <v>67</v>
      </c>
      <c r="G247" s="8">
        <v>3750.0</v>
      </c>
      <c r="H247" s="8" t="s">
        <v>45</v>
      </c>
      <c r="K247" s="8" t="s">
        <v>46</v>
      </c>
      <c r="L247" s="8" t="s">
        <v>37</v>
      </c>
      <c r="P247" s="9">
        <v>44116.0</v>
      </c>
      <c r="Q247" s="10">
        <v>0.39583333333575865</v>
      </c>
      <c r="R247" s="11" t="str">
        <f t="shared" si="1"/>
        <v>Сборка на линии Prim</v>
      </c>
      <c r="S247" s="16" t="str">
        <f>iferror(VLOOKUP(C247,'ФИО'!A:B,2,0),"учётный код не найден")</f>
        <v>SMT</v>
      </c>
      <c r="T247" s="11" t="str">
        <f t="shared" si="2"/>
        <v>ПУ 910-00349.A "Печатный узел основного блока E96 4LIN"</v>
      </c>
      <c r="U247" s="8">
        <v>564.0</v>
      </c>
      <c r="V247" s="8">
        <v>0.0</v>
      </c>
      <c r="W247" s="17" t="str">
        <f t="shared" si="30"/>
        <v>Данные не заполены</v>
      </c>
      <c r="X247" s="14" t="str">
        <f t="shared" si="31"/>
        <v>Данные не заполены</v>
      </c>
      <c r="Y247" s="15">
        <f t="shared" si="32"/>
        <v>0</v>
      </c>
      <c r="Z247" s="8" t="s">
        <v>152</v>
      </c>
    </row>
    <row r="248" hidden="1">
      <c r="A248" s="7">
        <v>44118.79018064815</v>
      </c>
      <c r="B248" s="8" t="s">
        <v>127</v>
      </c>
      <c r="C248" s="8">
        <v>21171.0</v>
      </c>
      <c r="D248" s="8" t="s">
        <v>27</v>
      </c>
      <c r="E248" s="8" t="s">
        <v>67</v>
      </c>
      <c r="G248" s="8">
        <v>3622.0</v>
      </c>
      <c r="H248" s="8" t="s">
        <v>29</v>
      </c>
      <c r="I248" s="8" t="s">
        <v>90</v>
      </c>
      <c r="L248" s="8" t="s">
        <v>37</v>
      </c>
      <c r="P248" s="9">
        <v>44117.0</v>
      </c>
      <c r="Q248" s="10">
        <v>0.11597222222189885</v>
      </c>
      <c r="R248" s="11" t="str">
        <f t="shared" si="1"/>
        <v>Сборка на линии Prim</v>
      </c>
      <c r="S248" s="22" t="s">
        <v>27</v>
      </c>
      <c r="T248" s="11" t="str">
        <f t="shared" si="2"/>
        <v>915-00124.A - Tioga Pass_v1.1 (Гагар.ин)</v>
      </c>
      <c r="U248" s="8">
        <v>4.0</v>
      </c>
      <c r="V248" s="8">
        <v>0.0</v>
      </c>
      <c r="W248" s="17" t="str">
        <f t="shared" si="30"/>
        <v>Данные не заполены</v>
      </c>
      <c r="X248" s="14" t="str">
        <f t="shared" si="31"/>
        <v>Данные не заполены</v>
      </c>
      <c r="Y248" s="15">
        <f t="shared" si="32"/>
        <v>0</v>
      </c>
    </row>
    <row r="249" hidden="1">
      <c r="A249" s="7">
        <v>44125.83354111111</v>
      </c>
      <c r="B249" s="8" t="s">
        <v>127</v>
      </c>
      <c r="C249" s="8">
        <v>50000.0</v>
      </c>
      <c r="D249" s="8" t="s">
        <v>27</v>
      </c>
      <c r="E249" s="8" t="s">
        <v>67</v>
      </c>
      <c r="G249" s="8">
        <v>3253.0</v>
      </c>
      <c r="H249" s="8" t="s">
        <v>29</v>
      </c>
      <c r="I249" s="8" t="s">
        <v>95</v>
      </c>
      <c r="L249" s="8" t="s">
        <v>37</v>
      </c>
      <c r="N249" s="8">
        <v>1.0</v>
      </c>
      <c r="O249" s="8">
        <v>37.0</v>
      </c>
      <c r="P249" s="9">
        <v>44125.0</v>
      </c>
      <c r="Q249" s="10">
        <v>0.125</v>
      </c>
      <c r="R249" s="11" t="str">
        <f t="shared" si="1"/>
        <v>Сборка на линии Prim</v>
      </c>
      <c r="S249" s="16" t="str">
        <f>iferror(VLOOKUP(C249,'ФИО'!A:B,2,0),"учётный код не найден")</f>
        <v>SMT</v>
      </c>
      <c r="T249" s="11" t="str">
        <f t="shared" si="2"/>
        <v>915-00095.A - ПКД-8В-1 АСЛБ.467249.108 (Квант)</v>
      </c>
      <c r="U249" s="8">
        <v>138.0</v>
      </c>
      <c r="V249" s="8">
        <v>0.0</v>
      </c>
      <c r="W249" s="17">
        <f t="shared" si="30"/>
        <v>726.7135135</v>
      </c>
      <c r="X249" s="14">
        <f t="shared" si="31"/>
        <v>0.696285387</v>
      </c>
      <c r="Y249" s="15">
        <f t="shared" si="32"/>
        <v>0</v>
      </c>
    </row>
    <row r="250" hidden="1">
      <c r="A250" s="7">
        <v>44109.95759135416</v>
      </c>
      <c r="B250" s="8" t="s">
        <v>127</v>
      </c>
      <c r="C250" s="8">
        <v>21171.0</v>
      </c>
      <c r="D250" s="8" t="s">
        <v>27</v>
      </c>
      <c r="E250" s="8" t="s">
        <v>88</v>
      </c>
      <c r="G250" s="8">
        <v>3706.0</v>
      </c>
      <c r="H250" s="8" t="s">
        <v>45</v>
      </c>
      <c r="K250" s="8" t="s">
        <v>91</v>
      </c>
      <c r="L250" s="8" t="s">
        <v>37</v>
      </c>
      <c r="P250" s="9">
        <v>44108.0</v>
      </c>
      <c r="Q250" s="10">
        <v>0.21875</v>
      </c>
      <c r="R250" s="11" t="str">
        <f t="shared" si="1"/>
        <v>Сборка на линии Sec</v>
      </c>
      <c r="S250" s="22" t="s">
        <v>27</v>
      </c>
      <c r="T250" s="11" t="str">
        <f t="shared" si="2"/>
        <v>ПУ Сигма 10/15 910-00080.D</v>
      </c>
      <c r="U250" s="8">
        <v>480.0</v>
      </c>
      <c r="V250" s="8">
        <v>0.0</v>
      </c>
      <c r="W250" s="21" t="str">
        <f t="shared" si="30"/>
        <v>Данные не заполены</v>
      </c>
      <c r="X250" s="15" t="str">
        <f t="shared" si="31"/>
        <v>Данные не заполены</v>
      </c>
      <c r="Y250" s="15">
        <f t="shared" si="32"/>
        <v>0</v>
      </c>
      <c r="Z250" s="8" t="s">
        <v>153</v>
      </c>
    </row>
    <row r="251" hidden="1">
      <c r="A251" s="7">
        <v>44113.311592777776</v>
      </c>
      <c r="B251" s="8" t="s">
        <v>126</v>
      </c>
      <c r="C251" s="8">
        <v>21171.0</v>
      </c>
      <c r="D251" s="8" t="s">
        <v>27</v>
      </c>
      <c r="E251" s="8" t="s">
        <v>48</v>
      </c>
      <c r="L251" s="8" t="s">
        <v>31</v>
      </c>
      <c r="M251" s="8" t="s">
        <v>34</v>
      </c>
      <c r="N251" s="8"/>
      <c r="O251" s="8"/>
      <c r="P251" s="9">
        <v>44111.0</v>
      </c>
      <c r="Q251" s="10">
        <v>0.14583333333575865</v>
      </c>
      <c r="R251" s="11" t="str">
        <f t="shared" si="1"/>
        <v>Выполнение организационных работ</v>
      </c>
      <c r="S251" s="16" t="str">
        <f>iferror(VLOOKUP(C251,'ФИО'!A:B,2,0),"учётный код не найден")</f>
        <v>Муртищева Ольга Валентиновна</v>
      </c>
      <c r="T251" s="13" t="str">
        <f t="shared" si="2"/>
        <v/>
      </c>
      <c r="U251" s="8">
        <v>0.0</v>
      </c>
      <c r="V251" s="8">
        <v>0.0</v>
      </c>
      <c r="W251" s="21" t="str">
        <f t="shared" si="30"/>
        <v>Данные не заполены</v>
      </c>
      <c r="X251" s="15" t="str">
        <f t="shared" si="31"/>
        <v>Данные не заполены</v>
      </c>
      <c r="Y251" s="15">
        <f t="shared" si="32"/>
        <v>0</v>
      </c>
    </row>
    <row r="252" hidden="1">
      <c r="A252" s="7">
        <v>44113.32801457176</v>
      </c>
      <c r="B252" s="8" t="s">
        <v>126</v>
      </c>
      <c r="C252" s="8">
        <v>21171.0</v>
      </c>
      <c r="D252" s="8" t="s">
        <v>27</v>
      </c>
      <c r="E252" s="8" t="s">
        <v>48</v>
      </c>
      <c r="L252" s="8" t="s">
        <v>31</v>
      </c>
      <c r="M252" s="8" t="s">
        <v>34</v>
      </c>
      <c r="N252" s="8"/>
      <c r="O252" s="8"/>
      <c r="P252" s="9">
        <v>44112.0</v>
      </c>
      <c r="Q252" s="10">
        <v>0.04166666666424135</v>
      </c>
      <c r="R252" s="11" t="str">
        <f t="shared" si="1"/>
        <v>Выполнение организационных работ</v>
      </c>
      <c r="S252" s="16" t="str">
        <f>iferror(VLOOKUP(C252,'ФИО'!A:B,2,0),"учётный код не найден")</f>
        <v>Муртищева Ольга Валентиновна</v>
      </c>
      <c r="T252" s="13" t="str">
        <f t="shared" si="2"/>
        <v/>
      </c>
      <c r="U252" s="8">
        <v>0.0</v>
      </c>
      <c r="V252" s="8">
        <v>0.0</v>
      </c>
      <c r="W252" s="21" t="str">
        <f t="shared" si="30"/>
        <v>Данные не заполены</v>
      </c>
      <c r="X252" s="15" t="str">
        <f t="shared" si="31"/>
        <v>Данные не заполены</v>
      </c>
      <c r="Y252" s="15">
        <f t="shared" si="32"/>
        <v>0</v>
      </c>
    </row>
    <row r="253" hidden="1">
      <c r="A253" s="7">
        <v>44125.437641446755</v>
      </c>
      <c r="B253" s="8" t="s">
        <v>127</v>
      </c>
      <c r="C253" s="8">
        <v>20849.0</v>
      </c>
      <c r="D253" s="8" t="s">
        <v>27</v>
      </c>
      <c r="E253" s="8" t="s">
        <v>88</v>
      </c>
      <c r="G253" s="8">
        <v>3754.0</v>
      </c>
      <c r="H253" s="8" t="s">
        <v>45</v>
      </c>
      <c r="K253" s="8" t="s">
        <v>124</v>
      </c>
      <c r="L253" s="8" t="s">
        <v>37</v>
      </c>
      <c r="N253" s="8">
        <v>36.0</v>
      </c>
      <c r="O253" s="8">
        <v>98.0</v>
      </c>
      <c r="P253" s="9">
        <v>44124.0</v>
      </c>
      <c r="Q253" s="10">
        <v>0.27777777778101154</v>
      </c>
      <c r="R253" s="11" t="str">
        <f t="shared" si="1"/>
        <v>Сборка на линии Sec</v>
      </c>
      <c r="S253" s="22" t="s">
        <v>27</v>
      </c>
      <c r="T253" s="11" t="str">
        <f t="shared" si="2"/>
        <v>ПУ 910-00120.D - Печатный узел модуля 2CAN+LIN</v>
      </c>
      <c r="U253" s="8">
        <v>3630.0</v>
      </c>
      <c r="V253" s="8">
        <v>0.0</v>
      </c>
      <c r="W253" s="17">
        <f t="shared" si="30"/>
        <v>9877.371429</v>
      </c>
      <c r="X253" s="14">
        <f t="shared" si="31"/>
        <v>0.6063860252</v>
      </c>
      <c r="Y253" s="15">
        <f t="shared" si="32"/>
        <v>0</v>
      </c>
    </row>
    <row r="254" hidden="1">
      <c r="A254" s="7">
        <v>44137.332053356484</v>
      </c>
      <c r="B254" s="8" t="s">
        <v>126</v>
      </c>
      <c r="C254" s="8">
        <v>50000.0</v>
      </c>
      <c r="D254" s="8" t="s">
        <v>27</v>
      </c>
      <c r="E254" s="8" t="s">
        <v>67</v>
      </c>
      <c r="G254" s="8">
        <v>3778.0</v>
      </c>
      <c r="H254" s="8" t="s">
        <v>45</v>
      </c>
      <c r="K254" s="8" t="s">
        <v>46</v>
      </c>
      <c r="L254" s="8" t="s">
        <v>37</v>
      </c>
      <c r="N254" s="8">
        <v>4.0</v>
      </c>
      <c r="O254" s="8">
        <v>60.0</v>
      </c>
      <c r="P254" s="9">
        <v>44136.0</v>
      </c>
      <c r="Q254" s="10">
        <v>0.45833333333575865</v>
      </c>
      <c r="R254" s="11" t="str">
        <f t="shared" si="1"/>
        <v>Сборка на линии Prim</v>
      </c>
      <c r="S254" s="16" t="str">
        <f>iferror(VLOOKUP(C254,'ФИО'!A:B,2,0),"учётный код не найден")</f>
        <v>SMT</v>
      </c>
      <c r="T254" s="11" t="str">
        <f t="shared" si="2"/>
        <v>ПУ 910-00349.A "Печатный узел основного блока E96 4LIN"</v>
      </c>
      <c r="U254" s="8">
        <v>1488.0</v>
      </c>
      <c r="V254" s="8">
        <v>0.0</v>
      </c>
      <c r="W254" s="17">
        <f t="shared" si="30"/>
        <v>1792.56</v>
      </c>
      <c r="X254" s="14">
        <f t="shared" si="31"/>
        <v>0.8300977373</v>
      </c>
      <c r="Y254" s="15">
        <f t="shared" si="32"/>
        <v>0</v>
      </c>
    </row>
    <row r="255" hidden="1">
      <c r="A255" s="7">
        <v>44124.344045081016</v>
      </c>
      <c r="B255" s="8" t="s">
        <v>126</v>
      </c>
      <c r="C255" s="8">
        <v>21171.0</v>
      </c>
      <c r="D255" s="8" t="s">
        <v>27</v>
      </c>
      <c r="E255" s="8" t="s">
        <v>48</v>
      </c>
      <c r="L255" s="8" t="s">
        <v>31</v>
      </c>
      <c r="M255" s="8" t="s">
        <v>34</v>
      </c>
      <c r="P255" s="9">
        <v>44120.0</v>
      </c>
      <c r="Q255" s="10">
        <v>0.0625</v>
      </c>
      <c r="R255" s="11" t="str">
        <f t="shared" si="1"/>
        <v>Выполнение организационных работ</v>
      </c>
      <c r="S255" s="16" t="str">
        <f>iferror(VLOOKUP(C255,'ФИО'!A:B,2,0),"учётный код не найден")</f>
        <v>Муртищева Ольга Валентиновна</v>
      </c>
      <c r="T255" s="13" t="str">
        <f t="shared" si="2"/>
        <v/>
      </c>
      <c r="U255" s="8">
        <v>5745.0</v>
      </c>
      <c r="V255" s="8">
        <v>1347.0</v>
      </c>
      <c r="X255" s="14" t="str">
        <f t="shared" si="31"/>
        <v>Данные не заполены</v>
      </c>
      <c r="Y255" s="15">
        <f t="shared" si="32"/>
        <v>0.234464752</v>
      </c>
    </row>
    <row r="256" hidden="1">
      <c r="A256" s="7">
        <v>44125.372688020834</v>
      </c>
      <c r="B256" s="8" t="s">
        <v>127</v>
      </c>
      <c r="C256" s="8">
        <v>20849.0</v>
      </c>
      <c r="D256" s="8" t="s">
        <v>27</v>
      </c>
      <c r="E256" s="8" t="s">
        <v>48</v>
      </c>
      <c r="L256" s="8" t="s">
        <v>31</v>
      </c>
      <c r="M256" s="8" t="s">
        <v>34</v>
      </c>
      <c r="P256" s="9">
        <v>44124.0</v>
      </c>
      <c r="Q256" s="10">
        <v>0.125</v>
      </c>
      <c r="R256" s="11" t="str">
        <f t="shared" si="1"/>
        <v>Выполнение организационных работ</v>
      </c>
      <c r="S256" s="16" t="str">
        <f>iferror(VLOOKUP(C256,'ФИО'!A:B,2,0),"учётный код не найден")</f>
        <v>Шилоносов Максим Евгеньевич</v>
      </c>
      <c r="T256" s="11" t="str">
        <f t="shared" si="2"/>
        <v/>
      </c>
      <c r="W256" s="17" t="str">
        <f t="shared" ref="W256:W266" si="33">IFERROR((((38412/(ifs(O256&lt;35,35,O256&gt;34,O256)/N256)*0.7))),"Данные не заполены")</f>
        <v>Данные не заполены</v>
      </c>
      <c r="X256" s="14" t="str">
        <f t="shared" si="31"/>
        <v>Данные не заполены</v>
      </c>
      <c r="Y256" s="15">
        <f t="shared" si="32"/>
        <v>0</v>
      </c>
    </row>
    <row r="257" hidden="1">
      <c r="A257" s="7">
        <v>44125.8249390625</v>
      </c>
      <c r="B257" s="8" t="s">
        <v>127</v>
      </c>
      <c r="C257" s="8">
        <v>20849.0</v>
      </c>
      <c r="D257" s="8" t="s">
        <v>27</v>
      </c>
      <c r="E257" s="8" t="s">
        <v>48</v>
      </c>
      <c r="L257" s="8" t="s">
        <v>31</v>
      </c>
      <c r="M257" s="8" t="s">
        <v>34</v>
      </c>
      <c r="P257" s="9">
        <v>44125.0</v>
      </c>
      <c r="Q257" s="10">
        <v>0.14583333333575865</v>
      </c>
      <c r="R257" s="11" t="str">
        <f t="shared" si="1"/>
        <v>Выполнение организационных работ</v>
      </c>
      <c r="S257" s="16" t="str">
        <f>iferror(VLOOKUP(C257,'ФИО'!A:B,2,0),"учётный код не найден")</f>
        <v>Шилоносов Максим Евгеньевич</v>
      </c>
      <c r="T257" s="11" t="str">
        <f t="shared" si="2"/>
        <v/>
      </c>
      <c r="W257" s="17" t="str">
        <f t="shared" si="33"/>
        <v>Данные не заполены</v>
      </c>
      <c r="X257" s="14" t="str">
        <f t="shared" si="31"/>
        <v>Данные не заполены</v>
      </c>
      <c r="Y257" s="15">
        <f t="shared" si="32"/>
        <v>0</v>
      </c>
    </row>
    <row r="258" hidden="1">
      <c r="A258" s="7">
        <v>44128.3267815162</v>
      </c>
      <c r="B258" s="8" t="s">
        <v>126</v>
      </c>
      <c r="C258" s="8">
        <v>20849.0</v>
      </c>
      <c r="D258" s="8" t="s">
        <v>27</v>
      </c>
      <c r="E258" s="8" t="s">
        <v>48</v>
      </c>
      <c r="L258" s="8" t="s">
        <v>31</v>
      </c>
      <c r="M258" s="8" t="s">
        <v>34</v>
      </c>
      <c r="P258" s="9">
        <v>44127.0</v>
      </c>
      <c r="Q258" s="10">
        <v>0.20833333333575865</v>
      </c>
      <c r="R258" s="11" t="str">
        <f t="shared" si="1"/>
        <v>Выполнение организационных работ</v>
      </c>
      <c r="S258" s="16" t="str">
        <f>iferror(VLOOKUP(C258,'ФИО'!A:B,2,0),"учётный код не найден")</f>
        <v>Шилоносов Максим Евгеньевич</v>
      </c>
      <c r="T258" s="13" t="str">
        <f t="shared" si="2"/>
        <v/>
      </c>
      <c r="W258" s="17" t="str">
        <f t="shared" si="33"/>
        <v>Данные не заполены</v>
      </c>
      <c r="X258" s="14" t="str">
        <f t="shared" si="31"/>
        <v>Данные не заполены</v>
      </c>
      <c r="Y258" s="15">
        <f t="shared" si="32"/>
        <v>0</v>
      </c>
    </row>
    <row r="259" hidden="1">
      <c r="A259" s="7">
        <v>44129.330347407405</v>
      </c>
      <c r="B259" s="8" t="s">
        <v>126</v>
      </c>
      <c r="C259" s="8">
        <v>20849.0</v>
      </c>
      <c r="D259" s="8" t="s">
        <v>27</v>
      </c>
      <c r="E259" s="8" t="s">
        <v>48</v>
      </c>
      <c r="L259" s="8" t="s">
        <v>31</v>
      </c>
      <c r="M259" s="8" t="s">
        <v>34</v>
      </c>
      <c r="P259" s="9">
        <v>44128.0</v>
      </c>
      <c r="Q259" s="10">
        <v>0.0625</v>
      </c>
      <c r="R259" s="11" t="str">
        <f t="shared" si="1"/>
        <v>Выполнение организационных работ</v>
      </c>
      <c r="S259" s="12" t="str">
        <f>iferror(VLOOKUP(C259,'ФИО'!A:B,2,0),"учётный код не найден")</f>
        <v>Шилоносов Максим Евгеньевич</v>
      </c>
      <c r="T259" s="13" t="str">
        <f t="shared" si="2"/>
        <v/>
      </c>
      <c r="W259" s="17" t="str">
        <f t="shared" si="33"/>
        <v>Данные не заполены</v>
      </c>
      <c r="X259" s="14" t="str">
        <f t="shared" si="31"/>
        <v>Данные не заполены</v>
      </c>
      <c r="Y259" s="15">
        <f t="shared" si="32"/>
        <v>0</v>
      </c>
    </row>
    <row r="260" hidden="1">
      <c r="A260" s="7">
        <v>44133.341253425926</v>
      </c>
      <c r="B260" s="8" t="s">
        <v>127</v>
      </c>
      <c r="C260" s="8">
        <v>20849.0</v>
      </c>
      <c r="D260" s="8" t="s">
        <v>27</v>
      </c>
      <c r="E260" s="8" t="s">
        <v>48</v>
      </c>
      <c r="L260" s="8" t="s">
        <v>31</v>
      </c>
      <c r="M260" s="8" t="s">
        <v>34</v>
      </c>
      <c r="P260" s="9">
        <v>44132.0</v>
      </c>
      <c r="Q260" s="10">
        <v>0.125</v>
      </c>
      <c r="R260" s="11" t="str">
        <f t="shared" si="1"/>
        <v>Выполнение организационных работ</v>
      </c>
      <c r="S260" s="16" t="str">
        <f>iferror(VLOOKUP(C260,'ФИО'!A:B,2,0),"учётный код не найден")</f>
        <v>Шилоносов Максим Евгеньевич</v>
      </c>
      <c r="T260" s="11" t="str">
        <f t="shared" si="2"/>
        <v/>
      </c>
      <c r="W260" s="17" t="str">
        <f t="shared" si="33"/>
        <v>Данные не заполены</v>
      </c>
      <c r="X260" s="14" t="str">
        <f t="shared" si="31"/>
        <v>Данные не заполены</v>
      </c>
      <c r="Y260" s="15">
        <f t="shared" si="32"/>
        <v>0</v>
      </c>
    </row>
    <row r="261" hidden="1">
      <c r="A261" s="7">
        <v>44133.846541747684</v>
      </c>
      <c r="B261" s="8" t="s">
        <v>127</v>
      </c>
      <c r="C261" s="8">
        <v>20849.0</v>
      </c>
      <c r="D261" s="8" t="s">
        <v>27</v>
      </c>
      <c r="E261" s="8" t="s">
        <v>48</v>
      </c>
      <c r="L261" s="8" t="s">
        <v>31</v>
      </c>
      <c r="M261" s="8" t="s">
        <v>34</v>
      </c>
      <c r="P261" s="9">
        <v>44133.0</v>
      </c>
      <c r="Q261" s="10">
        <v>0.04166666666424135</v>
      </c>
      <c r="R261" s="11" t="str">
        <f t="shared" si="1"/>
        <v>Выполнение организационных работ</v>
      </c>
      <c r="S261" s="16" t="str">
        <f>iferror(VLOOKUP(C261,'ФИО'!A:B,2,0),"учётный код не найден")</f>
        <v>Шилоносов Максим Евгеньевич</v>
      </c>
      <c r="T261" s="11" t="str">
        <f t="shared" si="2"/>
        <v/>
      </c>
      <c r="W261" s="17" t="str">
        <f t="shared" si="33"/>
        <v>Данные не заполены</v>
      </c>
      <c r="X261" s="14" t="str">
        <f t="shared" si="31"/>
        <v>Данные не заполены</v>
      </c>
      <c r="Y261" s="15">
        <f t="shared" si="32"/>
        <v>0</v>
      </c>
    </row>
    <row r="262" hidden="1">
      <c r="A262" s="7">
        <v>44113.378289189815</v>
      </c>
      <c r="B262" s="8" t="s">
        <v>126</v>
      </c>
      <c r="C262" s="8">
        <v>21171.0</v>
      </c>
      <c r="D262" s="8" t="s">
        <v>27</v>
      </c>
      <c r="E262" s="8" t="s">
        <v>50</v>
      </c>
      <c r="L262" s="8" t="s">
        <v>31</v>
      </c>
      <c r="M262" s="8" t="s">
        <v>34</v>
      </c>
      <c r="N262" s="8"/>
      <c r="O262" s="8"/>
      <c r="P262" s="9">
        <v>44112.0</v>
      </c>
      <c r="Q262" s="10">
        <v>0.08333333333333333</v>
      </c>
      <c r="R262" s="11" t="str">
        <f t="shared" si="1"/>
        <v>Заполнение отчёта</v>
      </c>
      <c r="S262" s="16" t="str">
        <f>iferror(VLOOKUP(C262,'ФИО'!A:B,2,0),"учётный код не найден")</f>
        <v>Муртищева Ольга Валентиновна</v>
      </c>
      <c r="T262" s="13" t="str">
        <f t="shared" si="2"/>
        <v/>
      </c>
      <c r="U262" s="8">
        <v>0.0</v>
      </c>
      <c r="V262" s="8">
        <v>0.0</v>
      </c>
      <c r="W262" s="21" t="str">
        <f t="shared" si="33"/>
        <v>Данные не заполены</v>
      </c>
      <c r="X262" s="15" t="str">
        <f t="shared" si="31"/>
        <v>Данные не заполены</v>
      </c>
      <c r="Y262" s="15">
        <f t="shared" si="32"/>
        <v>0</v>
      </c>
    </row>
    <row r="263" hidden="1">
      <c r="A263" s="7">
        <v>44133.84742662037</v>
      </c>
      <c r="B263" s="8" t="s">
        <v>127</v>
      </c>
      <c r="C263" s="8">
        <v>20849.0</v>
      </c>
      <c r="D263" s="8" t="s">
        <v>27</v>
      </c>
      <c r="E263" s="8" t="s">
        <v>82</v>
      </c>
      <c r="G263" s="8">
        <v>3621.0</v>
      </c>
      <c r="H263" s="8" t="s">
        <v>29</v>
      </c>
      <c r="I263" s="8" t="s">
        <v>54</v>
      </c>
      <c r="L263" s="8" t="s">
        <v>31</v>
      </c>
      <c r="M263" s="8" t="s">
        <v>34</v>
      </c>
      <c r="P263" s="9">
        <v>44133.0</v>
      </c>
      <c r="Q263" s="10">
        <v>0.25</v>
      </c>
      <c r="R263" s="11" t="str">
        <f t="shared" si="1"/>
        <v>Настройка установщиков</v>
      </c>
      <c r="S263" s="16" t="str">
        <f>iferror(VLOOKUP(C263,'ФИО'!A:B,2,0),"учётный код не найден")</f>
        <v>Шилоносов Максим Евгеньевич</v>
      </c>
      <c r="T263" s="11" t="str">
        <f t="shared" si="2"/>
        <v>915-00121.A - Процессорный модуль РСЕН.469555.027 (КНС Групп)</v>
      </c>
      <c r="U263" s="8">
        <v>0.0</v>
      </c>
      <c r="V263" s="8">
        <v>0.0</v>
      </c>
      <c r="W263" s="17" t="str">
        <f t="shared" si="33"/>
        <v>Данные не заполены</v>
      </c>
      <c r="X263" s="14" t="str">
        <f t="shared" si="31"/>
        <v>Данные не заполены</v>
      </c>
      <c r="Y263" s="15">
        <f t="shared" si="32"/>
        <v>0</v>
      </c>
    </row>
    <row r="264" hidden="1">
      <c r="A264" s="7">
        <v>44125.83452355324</v>
      </c>
      <c r="B264" s="8" t="s">
        <v>127</v>
      </c>
      <c r="C264" s="8">
        <v>20849.0</v>
      </c>
      <c r="D264" s="8" t="s">
        <v>27</v>
      </c>
      <c r="E264" s="8" t="s">
        <v>86</v>
      </c>
      <c r="L264" s="8" t="s">
        <v>31</v>
      </c>
      <c r="M264" s="8" t="s">
        <v>34</v>
      </c>
      <c r="P264" s="9">
        <v>44125.0</v>
      </c>
      <c r="Q264" s="10">
        <v>0.04166666666424135</v>
      </c>
      <c r="R264" s="11" t="str">
        <f t="shared" si="1"/>
        <v>Проведение обучения</v>
      </c>
      <c r="S264" s="16" t="str">
        <f>iferror(VLOOKUP(C264,'ФИО'!A:B,2,0),"учётный код не найден")</f>
        <v>Шилоносов Максим Евгеньевич</v>
      </c>
      <c r="T264" s="11" t="str">
        <f t="shared" si="2"/>
        <v/>
      </c>
      <c r="W264" s="17" t="str">
        <f t="shared" si="33"/>
        <v>Данные не заполены</v>
      </c>
      <c r="X264" s="14" t="str">
        <f t="shared" si="31"/>
        <v>Данные не заполены</v>
      </c>
      <c r="Y264" s="15">
        <f t="shared" si="32"/>
        <v>0</v>
      </c>
    </row>
    <row r="265" hidden="1">
      <c r="A265" s="7">
        <v>44125.37156493055</v>
      </c>
      <c r="B265" s="8" t="s">
        <v>127</v>
      </c>
      <c r="C265" s="8">
        <v>20849.0</v>
      </c>
      <c r="D265" s="8" t="s">
        <v>27</v>
      </c>
      <c r="E265" s="8" t="s">
        <v>65</v>
      </c>
      <c r="G265" s="8">
        <v>3804.0</v>
      </c>
      <c r="H265" s="8" t="s">
        <v>45</v>
      </c>
      <c r="K265" s="8" t="s">
        <v>52</v>
      </c>
      <c r="L265" s="8" t="s">
        <v>31</v>
      </c>
      <c r="M265" s="8" t="s">
        <v>34</v>
      </c>
      <c r="P265" s="9">
        <v>44124.0</v>
      </c>
      <c r="Q265" s="10">
        <v>0.08333333333575865</v>
      </c>
      <c r="R265" s="11" t="str">
        <f t="shared" si="1"/>
        <v>Проверка комплектации</v>
      </c>
      <c r="S265" s="16" t="str">
        <f>iferror(VLOOKUP(C265,'ФИО'!A:B,2,0),"учётный код не найден")</f>
        <v>Шилоносов Максим Евгеньевич</v>
      </c>
      <c r="T265" s="11" t="str">
        <f t="shared" si="2"/>
        <v>М17V2 (900-00018.D)_910-00023.H и ПУ 910-00012.I</v>
      </c>
      <c r="U265" s="8">
        <v>0.0</v>
      </c>
      <c r="V265" s="8">
        <v>0.0</v>
      </c>
      <c r="W265" s="17" t="str">
        <f t="shared" si="33"/>
        <v>Данные не заполены</v>
      </c>
      <c r="X265" s="14" t="str">
        <f t="shared" si="31"/>
        <v>Данные не заполены</v>
      </c>
      <c r="Y265" s="15">
        <f t="shared" si="32"/>
        <v>0</v>
      </c>
    </row>
    <row r="266" hidden="1">
      <c r="A266" s="7">
        <v>44112.32610519676</v>
      </c>
      <c r="B266" s="8" t="s">
        <v>126</v>
      </c>
      <c r="C266" s="8">
        <v>22574.0</v>
      </c>
      <c r="D266" s="8" t="s">
        <v>27</v>
      </c>
      <c r="E266" s="8" t="s">
        <v>39</v>
      </c>
      <c r="G266" s="8">
        <v>3238.0</v>
      </c>
      <c r="H266" s="8" t="s">
        <v>29</v>
      </c>
      <c r="I266" s="8" t="s">
        <v>43</v>
      </c>
      <c r="L266" s="8" t="s">
        <v>31</v>
      </c>
      <c r="M266" s="8" t="s">
        <v>34</v>
      </c>
      <c r="N266" s="8"/>
      <c r="O266" s="8"/>
      <c r="P266" s="9">
        <v>44111.0</v>
      </c>
      <c r="Q266" s="10">
        <v>0.04166666666424135</v>
      </c>
      <c r="R266" s="11" t="str">
        <f t="shared" si="1"/>
        <v>Зарядка питателей Prim</v>
      </c>
      <c r="S266" s="16" t="str">
        <f>iferror(VLOOKUP(C266,'ФИО'!A:B,2,0),"учётный код не найден")</f>
        <v>Шапенков Геннадий Михайлович</v>
      </c>
      <c r="T266" s="13" t="str">
        <f t="shared" si="2"/>
        <v>915-00097.A - ПКД-8В-3 АСЛБ.467249.110 (Квант)</v>
      </c>
      <c r="U266" s="8">
        <v>25.0</v>
      </c>
      <c r="V266" s="8">
        <v>0.0</v>
      </c>
      <c r="W266" s="21" t="str">
        <f t="shared" si="33"/>
        <v>Данные не заполены</v>
      </c>
      <c r="X266" s="15" t="str">
        <f t="shared" si="31"/>
        <v>Данные не заполены</v>
      </c>
      <c r="Y266" s="15">
        <f t="shared" si="32"/>
        <v>0</v>
      </c>
    </row>
    <row r="267" hidden="1">
      <c r="A267" s="7">
        <v>44122.79673324074</v>
      </c>
      <c r="B267" s="8" t="s">
        <v>87</v>
      </c>
      <c r="C267" s="8">
        <v>21426.0</v>
      </c>
      <c r="D267" s="8" t="s">
        <v>27</v>
      </c>
      <c r="E267" s="8" t="s">
        <v>48</v>
      </c>
      <c r="L267" s="8" t="s">
        <v>31</v>
      </c>
      <c r="M267" s="8" t="s">
        <v>34</v>
      </c>
      <c r="P267" s="9">
        <v>44122.0</v>
      </c>
      <c r="Q267" s="10">
        <v>0.0625</v>
      </c>
      <c r="R267" s="11" t="str">
        <f t="shared" si="1"/>
        <v>Выполнение организационных работ</v>
      </c>
      <c r="S267" s="16" t="str">
        <f>iferror(VLOOKUP(C267,'ФИО'!A:B,2,0),"учётный код не найден")</f>
        <v>Скибинский Антон Германович</v>
      </c>
      <c r="T267" s="13" t="str">
        <f t="shared" si="2"/>
        <v/>
      </c>
      <c r="X267" s="14" t="str">
        <f t="shared" si="31"/>
        <v>Данные не заполены</v>
      </c>
      <c r="Y267" s="15">
        <f t="shared" si="32"/>
        <v>0</v>
      </c>
    </row>
    <row r="268" hidden="1">
      <c r="A268" s="7">
        <v>44126.32347202546</v>
      </c>
      <c r="B268" s="8" t="s">
        <v>94</v>
      </c>
      <c r="C268" s="8">
        <v>21426.0</v>
      </c>
      <c r="D268" s="8" t="s">
        <v>27</v>
      </c>
      <c r="E268" s="8" t="s">
        <v>48</v>
      </c>
      <c r="L268" s="8" t="s">
        <v>31</v>
      </c>
      <c r="M268" s="8" t="s">
        <v>34</v>
      </c>
      <c r="P268" s="9">
        <v>44125.0</v>
      </c>
      <c r="Q268" s="10">
        <v>0.0625</v>
      </c>
      <c r="R268" s="11" t="str">
        <f t="shared" si="1"/>
        <v>Выполнение организационных работ</v>
      </c>
      <c r="S268" s="16" t="str">
        <f>iferror(VLOOKUP(C268,'ФИО'!A:B,2,0),"учётный код не найден")</f>
        <v>Скибинский Антон Германович</v>
      </c>
      <c r="T268" s="13" t="str">
        <f t="shared" si="2"/>
        <v/>
      </c>
      <c r="W268" s="17" t="str">
        <f t="shared" ref="W268:W275" si="34">IFERROR((((38412/(ifs(O268&lt;35,35,O268&gt;34,O268)/N268)*0.7))),"Данные не заполены")</f>
        <v>Данные не заполены</v>
      </c>
      <c r="X268" s="14" t="str">
        <f t="shared" si="31"/>
        <v>Данные не заполены</v>
      </c>
      <c r="Y268" s="15">
        <f t="shared" si="32"/>
        <v>0</v>
      </c>
    </row>
    <row r="269" hidden="1">
      <c r="A269" s="7">
        <v>44121.82021982639</v>
      </c>
      <c r="B269" s="8" t="s">
        <v>26</v>
      </c>
      <c r="C269" s="8">
        <v>20751.0</v>
      </c>
      <c r="D269" s="8" t="s">
        <v>27</v>
      </c>
      <c r="E269" s="8" t="s">
        <v>50</v>
      </c>
      <c r="L269" s="8" t="s">
        <v>31</v>
      </c>
      <c r="M269" s="8" t="s">
        <v>34</v>
      </c>
      <c r="P269" s="9">
        <v>44121.0</v>
      </c>
      <c r="Q269" s="10">
        <v>0.020833333335758653</v>
      </c>
      <c r="R269" s="11" t="str">
        <f t="shared" si="1"/>
        <v>Заполнение отчёта</v>
      </c>
      <c r="S269" s="16" t="str">
        <f>iferror(VLOOKUP(C269,'ФИО'!A:B,2,0),"учётный код не найден")</f>
        <v>Кезерев Виталий Романович</v>
      </c>
      <c r="T269" s="13" t="str">
        <f t="shared" si="2"/>
        <v/>
      </c>
      <c r="W269" s="17" t="str">
        <f t="shared" si="34"/>
        <v>Данные не заполены</v>
      </c>
      <c r="X269" s="14" t="str">
        <f t="shared" si="31"/>
        <v>Данные не заполены</v>
      </c>
      <c r="Y269" s="15">
        <f t="shared" si="32"/>
        <v>0</v>
      </c>
    </row>
    <row r="270" hidden="1">
      <c r="A270" s="7">
        <v>44130.318642303246</v>
      </c>
      <c r="B270" s="8" t="s">
        <v>76</v>
      </c>
      <c r="C270" s="8">
        <v>20693.0</v>
      </c>
      <c r="D270" s="8" t="s">
        <v>27</v>
      </c>
      <c r="E270" s="8" t="s">
        <v>48</v>
      </c>
      <c r="L270" s="8" t="s">
        <v>31</v>
      </c>
      <c r="M270" s="8" t="s">
        <v>34</v>
      </c>
      <c r="P270" s="9">
        <v>44129.0</v>
      </c>
      <c r="Q270" s="10">
        <v>0.07638888889050577</v>
      </c>
      <c r="R270" s="11" t="str">
        <f t="shared" si="1"/>
        <v>Выполнение организационных работ</v>
      </c>
      <c r="S270" s="12" t="str">
        <f>iferror(VLOOKUP(C270,'ФИО'!A:B,2,0),"учётный код не найден")</f>
        <v>Аникина Раиса Владимировна</v>
      </c>
      <c r="T270" s="13" t="str">
        <f t="shared" si="2"/>
        <v/>
      </c>
      <c r="U270" s="8">
        <v>0.0</v>
      </c>
      <c r="V270" s="8">
        <v>0.0</v>
      </c>
      <c r="W270" s="17" t="str">
        <f t="shared" si="34"/>
        <v>Данные не заполены</v>
      </c>
      <c r="X270" s="14" t="str">
        <f t="shared" si="31"/>
        <v>Данные не заполены</v>
      </c>
      <c r="Y270" s="15">
        <f t="shared" si="32"/>
        <v>0</v>
      </c>
    </row>
    <row r="271" hidden="1">
      <c r="A271" s="7">
        <v>44112.8765921875</v>
      </c>
      <c r="B271" s="8" t="s">
        <v>126</v>
      </c>
      <c r="C271" s="8">
        <v>21927.0</v>
      </c>
      <c r="D271" s="8" t="s">
        <v>27</v>
      </c>
      <c r="E271" s="8" t="s">
        <v>39</v>
      </c>
      <c r="G271" s="8">
        <v>3238.0</v>
      </c>
      <c r="H271" s="8" t="s">
        <v>29</v>
      </c>
      <c r="I271" s="8" t="s">
        <v>95</v>
      </c>
      <c r="L271" s="8" t="s">
        <v>31</v>
      </c>
      <c r="M271" s="8" t="s">
        <v>34</v>
      </c>
      <c r="N271" s="8"/>
      <c r="O271" s="8"/>
      <c r="P271" s="9">
        <v>44111.0</v>
      </c>
      <c r="Q271" s="10">
        <v>0.020833333335758653</v>
      </c>
      <c r="R271" s="11" t="str">
        <f t="shared" si="1"/>
        <v>Зарядка питателей Prim</v>
      </c>
      <c r="S271" s="16" t="str">
        <f>iferror(VLOOKUP(C271,'ФИО'!A:B,2,0),"учётный код не найден")</f>
        <v>Шергин Родион Олегович</v>
      </c>
      <c r="T271" s="13" t="str">
        <f t="shared" si="2"/>
        <v>915-00095.A - ПКД-8В-1 АСЛБ.467249.108 (Квант)</v>
      </c>
      <c r="U271" s="8">
        <v>20.0</v>
      </c>
      <c r="V271" s="8">
        <v>0.0</v>
      </c>
      <c r="W271" s="21" t="str">
        <f t="shared" si="34"/>
        <v>Данные не заполены</v>
      </c>
      <c r="X271" s="15" t="str">
        <f t="shared" si="31"/>
        <v>Данные не заполены</v>
      </c>
      <c r="Y271" s="15">
        <f t="shared" si="32"/>
        <v>0</v>
      </c>
    </row>
    <row r="272" hidden="1">
      <c r="A272" s="7">
        <v>44113.323900625</v>
      </c>
      <c r="B272" s="8" t="s">
        <v>126</v>
      </c>
      <c r="C272" s="8">
        <v>22574.0</v>
      </c>
      <c r="D272" s="8" t="s">
        <v>27</v>
      </c>
      <c r="E272" s="8" t="s">
        <v>39</v>
      </c>
      <c r="G272" s="8">
        <v>3580.0</v>
      </c>
      <c r="H272" s="8" t="s">
        <v>29</v>
      </c>
      <c r="I272" s="8" t="s">
        <v>145</v>
      </c>
      <c r="L272" s="8" t="s">
        <v>31</v>
      </c>
      <c r="M272" s="8" t="s">
        <v>34</v>
      </c>
      <c r="N272" s="8"/>
      <c r="O272" s="8"/>
      <c r="P272" s="9">
        <v>44112.0</v>
      </c>
      <c r="Q272" s="10">
        <v>0.04166666666424135</v>
      </c>
      <c r="R272" s="11" t="str">
        <f t="shared" si="1"/>
        <v>Зарядка питателей Prim</v>
      </c>
      <c r="S272" s="16" t="str">
        <f>iferror(VLOOKUP(C272,'ФИО'!A:B,2,0),"учётный код не найден")</f>
        <v>Шапенков Геннадий Михайлович</v>
      </c>
      <c r="T272" s="13" t="str">
        <f t="shared" si="2"/>
        <v>XR (OÜ KLARBERG)</v>
      </c>
      <c r="U272" s="8">
        <v>25.0</v>
      </c>
      <c r="V272" s="8">
        <v>0.0</v>
      </c>
      <c r="W272" s="21" t="str">
        <f t="shared" si="34"/>
        <v>Данные не заполены</v>
      </c>
      <c r="X272" s="15" t="str">
        <f t="shared" si="31"/>
        <v>Данные не заполены</v>
      </c>
      <c r="Y272" s="15">
        <f t="shared" si="32"/>
        <v>0</v>
      </c>
    </row>
    <row r="273" hidden="1">
      <c r="A273" s="7">
        <v>44113.32758966435</v>
      </c>
      <c r="B273" s="8" t="s">
        <v>126</v>
      </c>
      <c r="C273" s="8">
        <v>22574.0</v>
      </c>
      <c r="D273" s="8" t="s">
        <v>27</v>
      </c>
      <c r="E273" s="8" t="s">
        <v>39</v>
      </c>
      <c r="G273" s="8">
        <v>3750.0</v>
      </c>
      <c r="H273" s="8" t="s">
        <v>45</v>
      </c>
      <c r="K273" s="8" t="s">
        <v>46</v>
      </c>
      <c r="L273" s="8" t="s">
        <v>31</v>
      </c>
      <c r="M273" s="8" t="s">
        <v>34</v>
      </c>
      <c r="N273" s="8"/>
      <c r="O273" s="8"/>
      <c r="P273" s="9">
        <v>44112.0</v>
      </c>
      <c r="Q273" s="10">
        <v>0.16666666666424135</v>
      </c>
      <c r="R273" s="11" t="str">
        <f t="shared" si="1"/>
        <v>Зарядка питателей Prim</v>
      </c>
      <c r="S273" s="16" t="str">
        <f>iferror(VLOOKUP(C273,'ФИО'!A:B,2,0),"учётный код не найден")</f>
        <v>Шапенков Геннадий Михайлович</v>
      </c>
      <c r="T273" s="13" t="str">
        <f t="shared" si="2"/>
        <v>ПУ 910-00349.A "Печатный узел основного блока E96 4LIN"</v>
      </c>
      <c r="U273" s="8">
        <v>45.0</v>
      </c>
      <c r="V273" s="8">
        <v>0.0</v>
      </c>
      <c r="W273" s="21" t="str">
        <f t="shared" si="34"/>
        <v>Данные не заполены</v>
      </c>
      <c r="X273" s="15" t="str">
        <f t="shared" si="31"/>
        <v>Данные не заполены</v>
      </c>
      <c r="Y273" s="15">
        <f t="shared" si="32"/>
        <v>0</v>
      </c>
    </row>
    <row r="274" hidden="1">
      <c r="A274" s="7">
        <v>44130.80311548611</v>
      </c>
      <c r="B274" s="8" t="s">
        <v>87</v>
      </c>
      <c r="C274" s="8">
        <v>21426.0</v>
      </c>
      <c r="D274" s="8" t="s">
        <v>27</v>
      </c>
      <c r="E274" s="8" t="s">
        <v>48</v>
      </c>
      <c r="L274" s="8" t="s">
        <v>31</v>
      </c>
      <c r="M274" s="8" t="s">
        <v>34</v>
      </c>
      <c r="P274" s="9">
        <v>44130.0</v>
      </c>
      <c r="Q274" s="10">
        <v>0.027777777781011537</v>
      </c>
      <c r="R274" s="11" t="str">
        <f t="shared" si="1"/>
        <v>Выполнение организационных работ</v>
      </c>
      <c r="S274" s="12" t="str">
        <f>iferror(VLOOKUP(C274,'ФИО'!A:B,2,0),"учётный код не найден")</f>
        <v>Скибинский Антон Германович</v>
      </c>
      <c r="T274" s="13" t="str">
        <f t="shared" si="2"/>
        <v/>
      </c>
      <c r="W274" s="17" t="str">
        <f t="shared" si="34"/>
        <v>Данные не заполены</v>
      </c>
      <c r="X274" s="14" t="str">
        <f t="shared" si="31"/>
        <v>Данные не заполены</v>
      </c>
      <c r="Y274" s="15">
        <f t="shared" si="32"/>
        <v>0</v>
      </c>
    </row>
    <row r="275" hidden="1">
      <c r="A275" s="7">
        <v>44131.81883366898</v>
      </c>
      <c r="B275" s="8" t="s">
        <v>87</v>
      </c>
      <c r="C275" s="8">
        <v>21426.0</v>
      </c>
      <c r="D275" s="8" t="s">
        <v>27</v>
      </c>
      <c r="E275" s="8" t="s">
        <v>48</v>
      </c>
      <c r="L275" s="8" t="s">
        <v>31</v>
      </c>
      <c r="M275" s="8" t="s">
        <v>34</v>
      </c>
      <c r="P275" s="9">
        <v>44131.0</v>
      </c>
      <c r="Q275" s="10">
        <v>0.04166666666424135</v>
      </c>
      <c r="R275" s="11" t="str">
        <f t="shared" si="1"/>
        <v>Выполнение организационных работ</v>
      </c>
      <c r="S275" s="12" t="str">
        <f>iferror(VLOOKUP(C275,'ФИО'!A:B,2,0),"учётный код не найден")</f>
        <v>Скибинский Антон Германович</v>
      </c>
      <c r="T275" s="13" t="str">
        <f t="shared" si="2"/>
        <v/>
      </c>
      <c r="U275" s="8">
        <v>0.0</v>
      </c>
      <c r="V275" s="8">
        <v>0.0</v>
      </c>
      <c r="W275" s="17" t="str">
        <f t="shared" si="34"/>
        <v>Данные не заполены</v>
      </c>
      <c r="X275" s="14" t="str">
        <f t="shared" si="31"/>
        <v>Данные не заполены</v>
      </c>
      <c r="Y275" s="15">
        <f t="shared" si="32"/>
        <v>0</v>
      </c>
    </row>
    <row r="276" hidden="1">
      <c r="A276" s="7">
        <v>44129.3638975</v>
      </c>
      <c r="B276" s="8" t="s">
        <v>26</v>
      </c>
      <c r="C276" s="8">
        <v>22087.0</v>
      </c>
      <c r="D276" s="8" t="s">
        <v>69</v>
      </c>
      <c r="F276" s="8" t="s">
        <v>106</v>
      </c>
      <c r="G276" s="8">
        <v>3253.0</v>
      </c>
      <c r="H276" s="8" t="s">
        <v>29</v>
      </c>
      <c r="I276" s="8" t="s">
        <v>95</v>
      </c>
      <c r="L276" s="8" t="s">
        <v>31</v>
      </c>
      <c r="M276" s="8" t="s">
        <v>34</v>
      </c>
      <c r="P276" s="9">
        <v>44128.0</v>
      </c>
      <c r="Q276" s="10">
        <v>0.020833333335758653</v>
      </c>
      <c r="R276" s="11" t="str">
        <f t="shared" si="1"/>
        <v>Настройка SEHO PRI</v>
      </c>
      <c r="S276" s="12" t="str">
        <f>iferror(VLOOKUP(C276,'ФИО'!A:B,2,0),"учётный код не найден")</f>
        <v>Хохряков Илья Александрович</v>
      </c>
      <c r="T276" s="13" t="str">
        <f t="shared" si="2"/>
        <v>915-00095.A - ПКД-8В-1 АСЛБ.467249.108 (Квант)</v>
      </c>
      <c r="U276" s="8">
        <v>0.0</v>
      </c>
      <c r="V276" s="8">
        <v>0.0</v>
      </c>
      <c r="X276" s="14" t="str">
        <f t="shared" si="31"/>
        <v>Данные не заполены</v>
      </c>
      <c r="Y276" s="15">
        <f t="shared" si="32"/>
        <v>0</v>
      </c>
    </row>
    <row r="277" hidden="1">
      <c r="A277" s="7">
        <v>44106.798305648146</v>
      </c>
      <c r="B277" s="8" t="s">
        <v>87</v>
      </c>
      <c r="C277" s="8">
        <v>21544.0</v>
      </c>
      <c r="D277" s="8" t="s">
        <v>27</v>
      </c>
      <c r="E277" s="8" t="s">
        <v>154</v>
      </c>
      <c r="L277" s="8" t="s">
        <v>31</v>
      </c>
      <c r="M277" s="8" t="s">
        <v>34</v>
      </c>
      <c r="N277" s="8"/>
      <c r="O277" s="8"/>
      <c r="P277" s="9">
        <v>44106.0</v>
      </c>
      <c r="Q277" s="10">
        <v>0.16666666666424135</v>
      </c>
      <c r="R277" s="13" t="str">
        <f t="shared" si="1"/>
        <v>Выполнение технологических задач</v>
      </c>
      <c r="S277" s="16" t="str">
        <f>iferror(VLOOKUP(C277,'ФИО'!A:B,2,0),"учётный код не найден")</f>
        <v>Анфалов Сергей Андреевич</v>
      </c>
      <c r="T277" s="13" t="str">
        <f t="shared" si="2"/>
        <v/>
      </c>
      <c r="W277" s="21" t="str">
        <f t="shared" ref="W277:W287" si="35">IFERROR((((38412/(ifs(O277&lt;35,35,O277&gt;34,O277)/N277)*0.7))),"Данные не заполены")</f>
        <v>Данные не заполены</v>
      </c>
      <c r="X277" s="15" t="str">
        <f t="shared" si="31"/>
        <v>Данные не заполены</v>
      </c>
      <c r="Y277" s="15">
        <f t="shared" si="32"/>
        <v>0</v>
      </c>
    </row>
    <row r="278" hidden="1">
      <c r="A278" s="7">
        <v>44113.82498456018</v>
      </c>
      <c r="B278" s="8" t="s">
        <v>26</v>
      </c>
      <c r="C278" s="8">
        <v>21475.0</v>
      </c>
      <c r="D278" s="8" t="s">
        <v>69</v>
      </c>
      <c r="F278" s="8" t="s">
        <v>106</v>
      </c>
      <c r="G278" s="8">
        <v>3750.0</v>
      </c>
      <c r="H278" s="8" t="s">
        <v>45</v>
      </c>
      <c r="K278" s="8" t="s">
        <v>46</v>
      </c>
      <c r="L278" s="8" t="s">
        <v>31</v>
      </c>
      <c r="M278" s="8" t="s">
        <v>34</v>
      </c>
      <c r="N278" s="8"/>
      <c r="O278" s="8"/>
      <c r="P278" s="9">
        <v>44113.0</v>
      </c>
      <c r="Q278" s="10">
        <v>0.04166666666424135</v>
      </c>
      <c r="R278" s="11" t="str">
        <f t="shared" si="1"/>
        <v>Настройка SEHO PRI</v>
      </c>
      <c r="S278" s="16" t="str">
        <f>iferror(VLOOKUP(C278,'ФИО'!A:B,2,0),"учётный код не найден")</f>
        <v>Байрамашвили Альберт Зурабович</v>
      </c>
      <c r="T278" s="13" t="str">
        <f t="shared" si="2"/>
        <v>ПУ 910-00349.A "Печатный узел основного блока E96 4LIN"</v>
      </c>
      <c r="U278" s="8">
        <v>0.0</v>
      </c>
      <c r="V278" s="8">
        <v>0.0</v>
      </c>
      <c r="W278" s="21" t="str">
        <f t="shared" si="35"/>
        <v>Данные не заполены</v>
      </c>
      <c r="X278" s="15" t="str">
        <f t="shared" si="31"/>
        <v>Данные не заполены</v>
      </c>
      <c r="Y278" s="15">
        <f t="shared" si="32"/>
        <v>0</v>
      </c>
    </row>
    <row r="279" hidden="1">
      <c r="A279" s="7">
        <v>44106.81714042824</v>
      </c>
      <c r="B279" s="8" t="s">
        <v>87</v>
      </c>
      <c r="C279" s="8">
        <v>22131.0</v>
      </c>
      <c r="D279" s="8" t="s">
        <v>27</v>
      </c>
      <c r="E279" s="8" t="s">
        <v>50</v>
      </c>
      <c r="L279" s="8" t="s">
        <v>31</v>
      </c>
      <c r="M279" s="8" t="s">
        <v>34</v>
      </c>
      <c r="N279" s="8"/>
      <c r="O279" s="8"/>
      <c r="P279" s="9">
        <v>44106.0</v>
      </c>
      <c r="Q279" s="10">
        <v>0.020833333335758653</v>
      </c>
      <c r="R279" s="13" t="str">
        <f t="shared" si="1"/>
        <v>Заполнение отчёта</v>
      </c>
      <c r="S279" s="16" t="str">
        <f>iferror(VLOOKUP(C279,'ФИО'!A:B,2,0),"учётный код не найден")</f>
        <v>Стосик Степан Владимирович</v>
      </c>
      <c r="T279" s="13" t="str">
        <f t="shared" si="2"/>
        <v/>
      </c>
      <c r="W279" s="21" t="str">
        <f t="shared" si="35"/>
        <v>Данные не заполены</v>
      </c>
      <c r="X279" s="15" t="str">
        <f t="shared" si="31"/>
        <v>Данные не заполены</v>
      </c>
      <c r="Y279" s="15">
        <f t="shared" si="32"/>
        <v>0</v>
      </c>
    </row>
    <row r="280" hidden="1">
      <c r="A280" s="7">
        <v>44106.82563472222</v>
      </c>
      <c r="B280" s="8" t="s">
        <v>87</v>
      </c>
      <c r="C280" s="8">
        <v>20985.0</v>
      </c>
      <c r="D280" s="8" t="s">
        <v>69</v>
      </c>
      <c r="F280" s="8" t="s">
        <v>50</v>
      </c>
      <c r="L280" s="8" t="s">
        <v>31</v>
      </c>
      <c r="M280" s="8" t="s">
        <v>34</v>
      </c>
      <c r="N280" s="8"/>
      <c r="O280" s="8"/>
      <c r="P280" s="9">
        <v>44106.0</v>
      </c>
      <c r="Q280" s="10">
        <v>0.010416666664241347</v>
      </c>
      <c r="R280" s="13" t="str">
        <f t="shared" si="1"/>
        <v>Заполнение отчёта</v>
      </c>
      <c r="S280" s="16" t="str">
        <f>iferror(VLOOKUP(C280,'ФИО'!A:B,2,0),"учётный код не найден")</f>
        <v>Никонорова Наталия Владимировна</v>
      </c>
      <c r="T280" s="13" t="str">
        <f t="shared" si="2"/>
        <v/>
      </c>
      <c r="W280" s="21" t="str">
        <f t="shared" si="35"/>
        <v>Данные не заполены</v>
      </c>
      <c r="X280" s="15" t="str">
        <f t="shared" si="31"/>
        <v>Данные не заполены</v>
      </c>
      <c r="Y280" s="15">
        <f t="shared" si="32"/>
        <v>0</v>
      </c>
    </row>
    <row r="281" hidden="1">
      <c r="A281" s="7">
        <v>44110.313099004634</v>
      </c>
      <c r="B281" s="8" t="s">
        <v>94</v>
      </c>
      <c r="C281" s="8">
        <v>22131.0</v>
      </c>
      <c r="D281" s="8" t="s">
        <v>27</v>
      </c>
      <c r="E281" s="8" t="s">
        <v>50</v>
      </c>
      <c r="L281" s="8" t="s">
        <v>31</v>
      </c>
      <c r="M281" s="8" t="s">
        <v>34</v>
      </c>
      <c r="N281" s="8"/>
      <c r="O281" s="8"/>
      <c r="P281" s="9">
        <v>44109.0</v>
      </c>
      <c r="Q281" s="10">
        <v>0.020833333335758653</v>
      </c>
      <c r="R281" s="11" t="str">
        <f t="shared" si="1"/>
        <v>Заполнение отчёта</v>
      </c>
      <c r="S281" s="16" t="str">
        <f>iferror(VLOOKUP(C281,'ФИО'!A:B,2,0),"учётный код не найден")</f>
        <v>Стосик Степан Владимирович</v>
      </c>
      <c r="T281" s="13" t="str">
        <f t="shared" si="2"/>
        <v/>
      </c>
      <c r="W281" s="21" t="str">
        <f t="shared" si="35"/>
        <v>Данные не заполены</v>
      </c>
      <c r="X281" s="15" t="str">
        <f t="shared" si="31"/>
        <v>Данные не заполены</v>
      </c>
      <c r="Y281" s="15">
        <f t="shared" si="32"/>
        <v>0</v>
      </c>
    </row>
    <row r="282" hidden="1">
      <c r="A282" s="7">
        <v>44111.31032634259</v>
      </c>
      <c r="B282" s="8" t="s">
        <v>94</v>
      </c>
      <c r="C282" s="8">
        <v>22131.0</v>
      </c>
      <c r="D282" s="8" t="s">
        <v>27</v>
      </c>
      <c r="E282" s="8" t="s">
        <v>50</v>
      </c>
      <c r="L282" s="8" t="s">
        <v>31</v>
      </c>
      <c r="M282" s="8" t="s">
        <v>34</v>
      </c>
      <c r="N282" s="8"/>
      <c r="O282" s="8"/>
      <c r="P282" s="9">
        <v>44110.0</v>
      </c>
      <c r="Q282" s="10">
        <v>0.020833333335758653</v>
      </c>
      <c r="R282" s="11" t="str">
        <f t="shared" si="1"/>
        <v>Заполнение отчёта</v>
      </c>
      <c r="S282" s="16" t="str">
        <f>iferror(VLOOKUP(C282,'ФИО'!A:B,2,0),"учётный код не найден")</f>
        <v>Стосик Степан Владимирович</v>
      </c>
      <c r="T282" s="13" t="str">
        <f t="shared" si="2"/>
        <v/>
      </c>
      <c r="W282" s="21" t="str">
        <f t="shared" si="35"/>
        <v>Данные не заполены</v>
      </c>
      <c r="X282" s="15" t="str">
        <f t="shared" si="31"/>
        <v>Данные не заполены</v>
      </c>
      <c r="Y282" s="15">
        <f t="shared" si="32"/>
        <v>0</v>
      </c>
    </row>
    <row r="283" hidden="1">
      <c r="A283" s="7">
        <v>44118.31058590278</v>
      </c>
      <c r="B283" s="8" t="s">
        <v>94</v>
      </c>
      <c r="C283" s="8">
        <v>22131.0</v>
      </c>
      <c r="D283" s="8" t="s">
        <v>27</v>
      </c>
      <c r="E283" s="8" t="s">
        <v>50</v>
      </c>
      <c r="L283" s="8" t="s">
        <v>31</v>
      </c>
      <c r="M283" s="8" t="s">
        <v>34</v>
      </c>
      <c r="P283" s="9">
        <v>44117.0</v>
      </c>
      <c r="Q283" s="10">
        <v>0.020833333335758653</v>
      </c>
      <c r="R283" s="11" t="str">
        <f t="shared" si="1"/>
        <v>Заполнение отчёта</v>
      </c>
      <c r="S283" s="16" t="str">
        <f>iferror(VLOOKUP(C283,'ФИО'!A:B,2,0),"учётный код не найден")</f>
        <v>Стосик Степан Владимирович</v>
      </c>
      <c r="T283" s="13" t="str">
        <f t="shared" si="2"/>
        <v/>
      </c>
      <c r="W283" s="17" t="str">
        <f t="shared" si="35"/>
        <v>Данные не заполены</v>
      </c>
      <c r="X283" s="14" t="str">
        <f t="shared" si="31"/>
        <v>Данные не заполены</v>
      </c>
      <c r="Y283" s="15">
        <f t="shared" si="32"/>
        <v>0</v>
      </c>
    </row>
    <row r="284" hidden="1">
      <c r="A284" s="7">
        <v>44118.32019940972</v>
      </c>
      <c r="B284" s="8" t="s">
        <v>94</v>
      </c>
      <c r="C284" s="8">
        <v>21928.0</v>
      </c>
      <c r="D284" s="8" t="s">
        <v>69</v>
      </c>
      <c r="F284" s="8" t="s">
        <v>50</v>
      </c>
      <c r="L284" s="8" t="s">
        <v>31</v>
      </c>
      <c r="M284" s="8" t="s">
        <v>34</v>
      </c>
      <c r="P284" s="9">
        <v>44117.0</v>
      </c>
      <c r="Q284" s="10">
        <v>0.013888888890505768</v>
      </c>
      <c r="R284" s="11" t="str">
        <f t="shared" si="1"/>
        <v>Заполнение отчёта</v>
      </c>
      <c r="S284" s="16" t="str">
        <f>iferror(VLOOKUP(C284,'ФИО'!A:B,2,0),"учётный код не найден")</f>
        <v>Савченко Виктория Андреевна</v>
      </c>
      <c r="T284" s="13" t="str">
        <f t="shared" si="2"/>
        <v/>
      </c>
      <c r="W284" s="17" t="str">
        <f t="shared" si="35"/>
        <v>Данные не заполены</v>
      </c>
      <c r="X284" s="14" t="str">
        <f t="shared" si="31"/>
        <v>Данные не заполены</v>
      </c>
      <c r="Y284" s="15">
        <f t="shared" si="32"/>
        <v>0</v>
      </c>
    </row>
    <row r="285" hidden="1">
      <c r="A285" s="7">
        <v>44118.320171377316</v>
      </c>
      <c r="B285" s="8" t="s">
        <v>94</v>
      </c>
      <c r="C285" s="8">
        <v>20985.0</v>
      </c>
      <c r="D285" s="8" t="s">
        <v>69</v>
      </c>
      <c r="F285" s="8" t="s">
        <v>50</v>
      </c>
      <c r="L285" s="8" t="s">
        <v>31</v>
      </c>
      <c r="M285" s="8" t="s">
        <v>34</v>
      </c>
      <c r="P285" s="9">
        <v>44117.0</v>
      </c>
      <c r="Q285" s="10">
        <v>0.013888888890505768</v>
      </c>
      <c r="R285" s="11" t="str">
        <f t="shared" si="1"/>
        <v>Заполнение отчёта</v>
      </c>
      <c r="S285" s="16" t="str">
        <f>iferror(VLOOKUP(C285,'ФИО'!A:B,2,0),"учётный код не найден")</f>
        <v>Никонорова Наталия Владимировна</v>
      </c>
      <c r="T285" s="13" t="str">
        <f t="shared" si="2"/>
        <v/>
      </c>
      <c r="W285" s="17" t="str">
        <f t="shared" si="35"/>
        <v>Данные не заполены</v>
      </c>
      <c r="X285" s="14" t="str">
        <f t="shared" si="31"/>
        <v>Данные не заполены</v>
      </c>
      <c r="Y285" s="15">
        <f t="shared" si="32"/>
        <v>0</v>
      </c>
    </row>
    <row r="286" hidden="1">
      <c r="A286" s="7">
        <v>44119.31198266204</v>
      </c>
      <c r="B286" s="8" t="s">
        <v>94</v>
      </c>
      <c r="C286" s="8">
        <v>22131.0</v>
      </c>
      <c r="D286" s="8" t="s">
        <v>27</v>
      </c>
      <c r="E286" s="8" t="s">
        <v>50</v>
      </c>
      <c r="L286" s="8" t="s">
        <v>31</v>
      </c>
      <c r="M286" s="8" t="s">
        <v>34</v>
      </c>
      <c r="P286" s="9">
        <v>44118.0</v>
      </c>
      <c r="Q286" s="10">
        <v>0.020833333335758653</v>
      </c>
      <c r="R286" s="11" t="str">
        <f t="shared" si="1"/>
        <v>Заполнение отчёта</v>
      </c>
      <c r="S286" s="16" t="str">
        <f>iferror(VLOOKUP(C286,'ФИО'!A:B,2,0),"учётный код не найден")</f>
        <v>Стосик Степан Владимирович</v>
      </c>
      <c r="T286" s="13" t="str">
        <f t="shared" si="2"/>
        <v/>
      </c>
      <c r="W286" s="17" t="str">
        <f t="shared" si="35"/>
        <v>Данные не заполены</v>
      </c>
      <c r="X286" s="14" t="str">
        <f t="shared" si="31"/>
        <v>Данные не заполены</v>
      </c>
      <c r="Y286" s="15">
        <f t="shared" si="32"/>
        <v>0</v>
      </c>
    </row>
    <row r="287" hidden="1">
      <c r="A287" s="7">
        <v>44119.449921990745</v>
      </c>
      <c r="B287" s="8" t="s">
        <v>89</v>
      </c>
      <c r="C287" s="8">
        <v>20015.0</v>
      </c>
      <c r="D287" s="8" t="s">
        <v>69</v>
      </c>
      <c r="F287" s="8" t="s">
        <v>50</v>
      </c>
      <c r="L287" s="8" t="s">
        <v>31</v>
      </c>
      <c r="M287" s="8" t="s">
        <v>34</v>
      </c>
      <c r="P287" s="9">
        <v>44119.0</v>
      </c>
      <c r="Q287" s="10">
        <v>0.020833333335758653</v>
      </c>
      <c r="R287" s="11" t="str">
        <f t="shared" si="1"/>
        <v>Заполнение отчёта</v>
      </c>
      <c r="S287" s="16" t="str">
        <f>iferror(VLOOKUP(C287,'ФИО'!A:B,2,0),"учётный код не найден")</f>
        <v>Ельцов Андрей Николаевич</v>
      </c>
      <c r="T287" s="13" t="str">
        <f t="shared" si="2"/>
        <v/>
      </c>
      <c r="W287" s="17" t="str">
        <f t="shared" si="35"/>
        <v>Данные не заполены</v>
      </c>
      <c r="X287" s="14" t="str">
        <f t="shared" si="31"/>
        <v>Данные не заполены</v>
      </c>
      <c r="Y287" s="15">
        <f t="shared" si="32"/>
        <v>0</v>
      </c>
    </row>
    <row r="288" hidden="1">
      <c r="A288" s="7">
        <v>44129.82294143518</v>
      </c>
      <c r="B288" s="8" t="s">
        <v>26</v>
      </c>
      <c r="C288" s="8">
        <v>20751.0</v>
      </c>
      <c r="D288" s="8" t="s">
        <v>27</v>
      </c>
      <c r="E288" s="8" t="s">
        <v>50</v>
      </c>
      <c r="L288" s="8" t="s">
        <v>31</v>
      </c>
      <c r="M288" s="8" t="s">
        <v>34</v>
      </c>
      <c r="P288" s="9">
        <v>44129.0</v>
      </c>
      <c r="Q288" s="10">
        <v>0.020833333335758653</v>
      </c>
      <c r="R288" s="11" t="str">
        <f t="shared" si="1"/>
        <v>Заполнение отчёта</v>
      </c>
      <c r="S288" s="12" t="str">
        <f>iferror(VLOOKUP(C288,'ФИО'!A:B,2,0),"учётный код не найден")</f>
        <v>Кезерев Виталий Романович</v>
      </c>
      <c r="T288" s="13" t="str">
        <f t="shared" si="2"/>
        <v/>
      </c>
      <c r="X288" s="14" t="str">
        <f t="shared" si="31"/>
        <v>Данные не заполены</v>
      </c>
      <c r="Y288" s="15">
        <f t="shared" si="32"/>
        <v>0</v>
      </c>
    </row>
    <row r="289" hidden="1">
      <c r="A289" s="7">
        <v>44129.35712555556</v>
      </c>
      <c r="B289" s="8" t="s">
        <v>26</v>
      </c>
      <c r="C289" s="8">
        <v>22087.0</v>
      </c>
      <c r="D289" s="8" t="s">
        <v>69</v>
      </c>
      <c r="F289" s="8" t="s">
        <v>106</v>
      </c>
      <c r="G289" s="8">
        <v>3667.0</v>
      </c>
      <c r="H289" s="8" t="s">
        <v>45</v>
      </c>
      <c r="K289" s="8" t="s">
        <v>155</v>
      </c>
      <c r="L289" s="8" t="s">
        <v>31</v>
      </c>
      <c r="M289" s="8" t="s">
        <v>34</v>
      </c>
      <c r="P289" s="9">
        <v>44128.0</v>
      </c>
      <c r="Q289" s="10">
        <v>0.04166666666424135</v>
      </c>
      <c r="R289" s="11" t="str">
        <f t="shared" si="1"/>
        <v>Настройка SEHO PRI</v>
      </c>
      <c r="S289" s="12" t="str">
        <f>iferror(VLOOKUP(C289,'ФИО'!A:B,2,0),"учётный код не найден")</f>
        <v>Хохряков Илья Александрович</v>
      </c>
      <c r="T289" s="13" t="str">
        <f t="shared" si="2"/>
        <v>ПУ N11 910-00188.B</v>
      </c>
      <c r="U289" s="8">
        <v>0.0</v>
      </c>
      <c r="V289" s="8">
        <v>0.0</v>
      </c>
      <c r="X289" s="14" t="str">
        <f t="shared" si="31"/>
        <v>Данные не заполены</v>
      </c>
      <c r="Y289" s="15">
        <f t="shared" si="32"/>
        <v>0</v>
      </c>
    </row>
    <row r="290" hidden="1">
      <c r="A290" s="7">
        <v>44130.784569166666</v>
      </c>
      <c r="B290" s="8" t="s">
        <v>87</v>
      </c>
      <c r="C290" s="8">
        <v>20985.0</v>
      </c>
      <c r="D290" s="8" t="s">
        <v>69</v>
      </c>
      <c r="F290" s="8" t="s">
        <v>50</v>
      </c>
      <c r="L290" s="8" t="s">
        <v>31</v>
      </c>
      <c r="M290" s="8" t="s">
        <v>34</v>
      </c>
      <c r="P290" s="9">
        <v>44130.0</v>
      </c>
      <c r="Q290" s="10">
        <v>0.010416666664241347</v>
      </c>
      <c r="R290" s="11" t="str">
        <f t="shared" si="1"/>
        <v>Заполнение отчёта</v>
      </c>
      <c r="S290" s="12" t="str">
        <f>iferror(VLOOKUP(C290,'ФИО'!A:B,2,0),"учётный код не найден")</f>
        <v>Никонорова Наталия Владимировна</v>
      </c>
      <c r="T290" s="13" t="str">
        <f t="shared" si="2"/>
        <v/>
      </c>
      <c r="W290" s="17" t="str">
        <f t="shared" ref="W290:W305" si="36">IFERROR((((38412/(ifs(O290&lt;35,35,O290&gt;34,O290)/N290)*0.7))),"Данные не заполены")</f>
        <v>Данные не заполены</v>
      </c>
      <c r="X290" s="14" t="str">
        <f t="shared" si="31"/>
        <v>Данные не заполены</v>
      </c>
      <c r="Y290" s="15">
        <f t="shared" si="32"/>
        <v>0</v>
      </c>
    </row>
    <row r="291" hidden="1">
      <c r="A291" s="7">
        <v>44110.32701891204</v>
      </c>
      <c r="B291" s="8" t="s">
        <v>94</v>
      </c>
      <c r="C291" s="8">
        <v>21426.0</v>
      </c>
      <c r="D291" s="8" t="s">
        <v>27</v>
      </c>
      <c r="E291" s="8" t="s">
        <v>39</v>
      </c>
      <c r="G291" s="8">
        <v>3234.0</v>
      </c>
      <c r="H291" s="8" t="s">
        <v>29</v>
      </c>
      <c r="I291" s="8" t="s">
        <v>135</v>
      </c>
      <c r="L291" s="8" t="s">
        <v>31</v>
      </c>
      <c r="M291" s="8" t="s">
        <v>34</v>
      </c>
      <c r="N291" s="8"/>
      <c r="O291" s="8"/>
      <c r="P291" s="9">
        <v>44109.0</v>
      </c>
      <c r="Q291" s="10">
        <v>0.013888888890505768</v>
      </c>
      <c r="R291" s="11" t="str">
        <f t="shared" si="1"/>
        <v>Зарядка питателей Prim</v>
      </c>
      <c r="S291" s="16" t="str">
        <f>iferror(VLOOKUP(C291,'ФИО'!A:B,2,0),"учётный код не найден")</f>
        <v>Скибинский Антон Германович</v>
      </c>
      <c r="T291" s="13" t="str">
        <f t="shared" si="2"/>
        <v>915-00101.A - ПКД-9В АСЛБ.467249.107 (Квант)</v>
      </c>
      <c r="U291" s="8">
        <v>20.0</v>
      </c>
      <c r="V291" s="8">
        <v>0.0</v>
      </c>
      <c r="W291" s="21" t="str">
        <f t="shared" si="36"/>
        <v>Данные не заполены</v>
      </c>
      <c r="X291" s="15" t="str">
        <f t="shared" si="31"/>
        <v>Данные не заполены</v>
      </c>
      <c r="Y291" s="15">
        <f t="shared" si="32"/>
        <v>0</v>
      </c>
    </row>
    <row r="292" hidden="1">
      <c r="A292" s="7">
        <v>44107.82447652778</v>
      </c>
      <c r="B292" s="8" t="s">
        <v>87</v>
      </c>
      <c r="C292" s="8">
        <v>22575.0</v>
      </c>
      <c r="D292" s="8" t="s">
        <v>27</v>
      </c>
      <c r="E292" s="8" t="s">
        <v>39</v>
      </c>
      <c r="G292" s="8">
        <v>3706.0</v>
      </c>
      <c r="H292" s="8" t="s">
        <v>45</v>
      </c>
      <c r="K292" s="8" t="s">
        <v>91</v>
      </c>
      <c r="L292" s="8" t="s">
        <v>31</v>
      </c>
      <c r="M292" s="8" t="s">
        <v>34</v>
      </c>
      <c r="N292" s="8"/>
      <c r="O292" s="8"/>
      <c r="P292" s="9">
        <v>44107.0</v>
      </c>
      <c r="Q292" s="10">
        <v>0.024305555554747116</v>
      </c>
      <c r="R292" s="11" t="str">
        <f t="shared" si="1"/>
        <v>Зарядка питателей Prim</v>
      </c>
      <c r="S292" s="16" t="str">
        <f>iferror(VLOOKUP(C292,'ФИО'!A:B,2,0),"учётный код не найден")</f>
        <v>Куликов Виктор Алексеевич</v>
      </c>
      <c r="T292" s="13" t="str">
        <f t="shared" si="2"/>
        <v>ПУ Сигма 10/15 910-00080.D</v>
      </c>
      <c r="U292" s="8">
        <v>35.0</v>
      </c>
      <c r="V292" s="8">
        <v>0.0</v>
      </c>
      <c r="W292" s="21" t="str">
        <f t="shared" si="36"/>
        <v>Данные не заполены</v>
      </c>
      <c r="X292" s="15" t="str">
        <f t="shared" si="31"/>
        <v>Данные не заполены</v>
      </c>
      <c r="Y292" s="15">
        <f t="shared" si="32"/>
        <v>0</v>
      </c>
      <c r="Z292" s="11"/>
    </row>
    <row r="293" hidden="1">
      <c r="A293" s="7">
        <v>44110.83138135417</v>
      </c>
      <c r="B293" s="8" t="s">
        <v>89</v>
      </c>
      <c r="C293" s="8">
        <v>21852.0</v>
      </c>
      <c r="D293" s="8" t="s">
        <v>27</v>
      </c>
      <c r="E293" s="8" t="s">
        <v>39</v>
      </c>
      <c r="G293" s="8">
        <v>3234.0</v>
      </c>
      <c r="H293" s="8" t="s">
        <v>29</v>
      </c>
      <c r="I293" s="8" t="s">
        <v>135</v>
      </c>
      <c r="L293" s="8" t="s">
        <v>31</v>
      </c>
      <c r="M293" s="8" t="s">
        <v>34</v>
      </c>
      <c r="N293" s="8"/>
      <c r="O293" s="8"/>
      <c r="P293" s="9">
        <v>44110.0</v>
      </c>
      <c r="Q293" s="10">
        <v>0.020833333335758653</v>
      </c>
      <c r="R293" s="11" t="str">
        <f t="shared" si="1"/>
        <v>Зарядка питателей Prim</v>
      </c>
      <c r="S293" s="16" t="str">
        <f>iferror(VLOOKUP(C293,'ФИО'!A:B,2,0),"учётный код не найден")</f>
        <v>Пономарев Юрий Андреевич</v>
      </c>
      <c r="T293" s="13" t="str">
        <f t="shared" si="2"/>
        <v>915-00101.A - ПКД-9В АСЛБ.467249.107 (Квант)</v>
      </c>
      <c r="U293" s="8">
        <v>30.0</v>
      </c>
      <c r="V293" s="8">
        <v>0.0</v>
      </c>
      <c r="W293" s="21" t="str">
        <f t="shared" si="36"/>
        <v>Данные не заполены</v>
      </c>
      <c r="X293" s="15" t="str">
        <f t="shared" si="31"/>
        <v>Данные не заполены</v>
      </c>
      <c r="Y293" s="15">
        <f t="shared" si="32"/>
        <v>0</v>
      </c>
    </row>
    <row r="294" hidden="1">
      <c r="A294" s="7">
        <v>44107.826373159725</v>
      </c>
      <c r="B294" s="8" t="s">
        <v>87</v>
      </c>
      <c r="C294" s="8">
        <v>22575.0</v>
      </c>
      <c r="D294" s="8" t="s">
        <v>27</v>
      </c>
      <c r="E294" s="8" t="s">
        <v>82</v>
      </c>
      <c r="G294" s="8">
        <v>3706.0</v>
      </c>
      <c r="H294" s="8" t="s">
        <v>45</v>
      </c>
      <c r="K294" s="8" t="s">
        <v>91</v>
      </c>
      <c r="L294" s="8" t="s">
        <v>31</v>
      </c>
      <c r="M294" s="8" t="s">
        <v>34</v>
      </c>
      <c r="N294" s="8"/>
      <c r="O294" s="8"/>
      <c r="P294" s="9">
        <v>44107.0</v>
      </c>
      <c r="Q294" s="10">
        <v>0.09722222221898846</v>
      </c>
      <c r="R294" s="11" t="str">
        <f t="shared" si="1"/>
        <v>Настройка установщиков</v>
      </c>
      <c r="S294" s="16" t="str">
        <f>iferror(VLOOKUP(C294,'ФИО'!A:B,2,0),"учётный код не найден")</f>
        <v>Куликов Виктор Алексеевич</v>
      </c>
      <c r="T294" s="13" t="str">
        <f t="shared" si="2"/>
        <v>ПУ Сигма 10/15 910-00080.D</v>
      </c>
      <c r="U294" s="8">
        <v>4.0</v>
      </c>
      <c r="V294" s="8">
        <v>0.0</v>
      </c>
      <c r="W294" s="21" t="str">
        <f t="shared" si="36"/>
        <v>Данные не заполены</v>
      </c>
      <c r="X294" s="15" t="str">
        <f t="shared" si="31"/>
        <v>Данные не заполены</v>
      </c>
      <c r="Y294" s="15">
        <f t="shared" si="32"/>
        <v>0</v>
      </c>
      <c r="Z294" s="11"/>
    </row>
    <row r="295" hidden="1">
      <c r="A295" s="7">
        <v>44111.33403334491</v>
      </c>
      <c r="B295" s="8" t="s">
        <v>94</v>
      </c>
      <c r="C295" s="8">
        <v>21426.0</v>
      </c>
      <c r="D295" s="8" t="s">
        <v>27</v>
      </c>
      <c r="E295" s="8" t="s">
        <v>39</v>
      </c>
      <c r="G295" s="8">
        <v>3580.0</v>
      </c>
      <c r="H295" s="8" t="s">
        <v>29</v>
      </c>
      <c r="I295" s="8" t="s">
        <v>145</v>
      </c>
      <c r="L295" s="8" t="s">
        <v>31</v>
      </c>
      <c r="M295" s="8" t="s">
        <v>34</v>
      </c>
      <c r="N295" s="8"/>
      <c r="O295" s="8"/>
      <c r="P295" s="9">
        <v>44110.0</v>
      </c>
      <c r="Q295" s="10">
        <v>0.01736111110949423</v>
      </c>
      <c r="R295" s="11" t="str">
        <f t="shared" si="1"/>
        <v>Зарядка питателей Prim</v>
      </c>
      <c r="S295" s="16" t="str">
        <f>iferror(VLOOKUP(C295,'ФИО'!A:B,2,0),"учётный код не найден")</f>
        <v>Скибинский Антон Германович</v>
      </c>
      <c r="T295" s="13" t="str">
        <f t="shared" si="2"/>
        <v>XR (OÜ KLARBERG)</v>
      </c>
      <c r="U295" s="8">
        <v>26.0</v>
      </c>
      <c r="V295" s="8">
        <v>0.0</v>
      </c>
      <c r="W295" s="21" t="str">
        <f t="shared" si="36"/>
        <v>Данные не заполены</v>
      </c>
      <c r="X295" s="15" t="str">
        <f t="shared" si="31"/>
        <v>Данные не заполены</v>
      </c>
      <c r="Y295" s="15">
        <f t="shared" si="32"/>
        <v>0</v>
      </c>
    </row>
    <row r="296" hidden="1">
      <c r="A296" s="7">
        <v>44110.318805902774</v>
      </c>
      <c r="B296" s="8" t="s">
        <v>94</v>
      </c>
      <c r="C296" s="8">
        <v>50000.0</v>
      </c>
      <c r="D296" s="8" t="s">
        <v>27</v>
      </c>
      <c r="E296" s="8" t="s">
        <v>88</v>
      </c>
      <c r="G296" s="8">
        <v>50000.0</v>
      </c>
      <c r="H296" s="8" t="s">
        <v>45</v>
      </c>
      <c r="K296" s="8" t="s">
        <v>58</v>
      </c>
      <c r="L296" s="8" t="s">
        <v>37</v>
      </c>
      <c r="P296" s="9">
        <v>44109.0</v>
      </c>
      <c r="Q296" s="10">
        <v>0.09722222222222222</v>
      </c>
      <c r="R296" s="11" t="str">
        <f t="shared" si="1"/>
        <v>Сборка на линии Sec</v>
      </c>
      <c r="S296" s="16" t="str">
        <f>iferror(VLOOKUP(C296,'ФИО'!A:B,2,0),"учётный код не найден")</f>
        <v>SMT</v>
      </c>
      <c r="T296" s="13" t="str">
        <f t="shared" si="2"/>
        <v>ПУ метки i95</v>
      </c>
      <c r="U296" s="8">
        <v>4104.0</v>
      </c>
      <c r="V296" s="8">
        <v>0.0</v>
      </c>
      <c r="W296" s="21" t="str">
        <f t="shared" si="36"/>
        <v>Данные не заполены</v>
      </c>
      <c r="X296" s="15" t="str">
        <f t="shared" si="31"/>
        <v>Данные не заполены</v>
      </c>
      <c r="Y296" s="15">
        <f t="shared" si="32"/>
        <v>0</v>
      </c>
    </row>
    <row r="297" hidden="1">
      <c r="A297" s="7">
        <v>44114.82127071759</v>
      </c>
      <c r="B297" s="8" t="s">
        <v>87</v>
      </c>
      <c r="C297" s="8">
        <v>20985.0</v>
      </c>
      <c r="D297" s="8" t="s">
        <v>27</v>
      </c>
      <c r="E297" s="8" t="s">
        <v>39</v>
      </c>
      <c r="G297" s="8">
        <v>3253.0</v>
      </c>
      <c r="H297" s="8" t="s">
        <v>29</v>
      </c>
      <c r="I297" s="8" t="s">
        <v>95</v>
      </c>
      <c r="L297" s="8" t="s">
        <v>31</v>
      </c>
      <c r="M297" s="8" t="s">
        <v>34</v>
      </c>
      <c r="N297" s="8"/>
      <c r="O297" s="8"/>
      <c r="P297" s="9">
        <v>44114.0</v>
      </c>
      <c r="Q297" s="10">
        <v>0.010416666664241347</v>
      </c>
      <c r="R297" s="11" t="str">
        <f t="shared" si="1"/>
        <v>Зарядка питателей Prim</v>
      </c>
      <c r="S297" s="16" t="str">
        <f>iferror(VLOOKUP(C297,'ФИО'!A:B,2,0),"учётный код не найден")</f>
        <v>Никонорова Наталия Владимировна</v>
      </c>
      <c r="T297" s="13" t="str">
        <f t="shared" si="2"/>
        <v>915-00095.A - ПКД-8В-1 АСЛБ.467249.108 (Квант)</v>
      </c>
      <c r="U297" s="8">
        <v>15.0</v>
      </c>
      <c r="V297" s="8">
        <v>0.0</v>
      </c>
      <c r="W297" s="21" t="str">
        <f t="shared" si="36"/>
        <v>Данные не заполены</v>
      </c>
      <c r="X297" s="15" t="str">
        <f t="shared" si="31"/>
        <v>Данные не заполены</v>
      </c>
      <c r="Y297" s="15">
        <f t="shared" si="32"/>
        <v>0</v>
      </c>
    </row>
    <row r="298" hidden="1">
      <c r="A298" s="7">
        <v>44110.32160434028</v>
      </c>
      <c r="B298" s="8" t="s">
        <v>94</v>
      </c>
      <c r="C298" s="8">
        <v>60000.0</v>
      </c>
      <c r="D298" s="8" t="s">
        <v>69</v>
      </c>
      <c r="F298" s="8" t="s">
        <v>72</v>
      </c>
      <c r="G298" s="8">
        <v>3047.0</v>
      </c>
      <c r="H298" s="8" t="s">
        <v>29</v>
      </c>
      <c r="I298" s="8" t="s">
        <v>77</v>
      </c>
      <c r="L298" s="8" t="s">
        <v>37</v>
      </c>
      <c r="P298" s="9">
        <v>44109.0</v>
      </c>
      <c r="Q298" s="10">
        <v>0.0625</v>
      </c>
      <c r="R298" s="11" t="str">
        <f t="shared" si="1"/>
        <v>Пайка компонентов PRI</v>
      </c>
      <c r="S298" s="12" t="str">
        <f>iferror(VLOOKUP(C298,'ФИО'!A:B,2,0),"учётный код не найден")</f>
        <v>THT</v>
      </c>
      <c r="T298" s="13" t="str">
        <f t="shared" si="2"/>
        <v>915-00081.A-Модуль Трик8 (Кибертех)</v>
      </c>
      <c r="U298" s="8">
        <v>56.0</v>
      </c>
      <c r="V298" s="8">
        <v>0.0</v>
      </c>
      <c r="W298" s="21" t="str">
        <f t="shared" si="36"/>
        <v>Данные не заполены</v>
      </c>
      <c r="X298" s="15" t="str">
        <f t="shared" si="31"/>
        <v>Данные не заполены</v>
      </c>
      <c r="Y298" s="15">
        <f t="shared" si="32"/>
        <v>0</v>
      </c>
    </row>
    <row r="299" hidden="1">
      <c r="A299" s="7">
        <v>44110.32440961806</v>
      </c>
      <c r="B299" s="8" t="s">
        <v>94</v>
      </c>
      <c r="C299" s="8">
        <v>60000.0</v>
      </c>
      <c r="D299" s="8" t="s">
        <v>69</v>
      </c>
      <c r="F299" s="8" t="s">
        <v>72</v>
      </c>
      <c r="G299" s="8">
        <v>3047.0</v>
      </c>
      <c r="H299" s="8" t="s">
        <v>29</v>
      </c>
      <c r="I299" s="8" t="s">
        <v>77</v>
      </c>
      <c r="L299" s="8" t="s">
        <v>37</v>
      </c>
      <c r="P299" s="9">
        <v>44109.0</v>
      </c>
      <c r="Q299" s="10">
        <v>0.0625</v>
      </c>
      <c r="R299" s="11" t="str">
        <f t="shared" si="1"/>
        <v>Пайка компонентов PRI</v>
      </c>
      <c r="S299" s="12" t="str">
        <f>iferror(VLOOKUP(C299,'ФИО'!A:B,2,0),"учётный код не найден")</f>
        <v>THT</v>
      </c>
      <c r="T299" s="13" t="str">
        <f t="shared" si="2"/>
        <v>915-00081.A-Модуль Трик8 (Кибертех)</v>
      </c>
      <c r="U299" s="8">
        <v>56.0</v>
      </c>
      <c r="V299" s="8">
        <v>0.0</v>
      </c>
      <c r="W299" s="21" t="str">
        <f t="shared" si="36"/>
        <v>Данные не заполены</v>
      </c>
      <c r="X299" s="15" t="str">
        <f t="shared" si="31"/>
        <v>Данные не заполены</v>
      </c>
      <c r="Y299" s="15">
        <f t="shared" si="32"/>
        <v>0</v>
      </c>
    </row>
    <row r="300" hidden="1">
      <c r="A300" s="7">
        <v>44110.325148715274</v>
      </c>
      <c r="B300" s="8" t="s">
        <v>94</v>
      </c>
      <c r="C300" s="8">
        <v>60000.0</v>
      </c>
      <c r="D300" s="8" t="s">
        <v>69</v>
      </c>
      <c r="F300" s="8" t="s">
        <v>80</v>
      </c>
      <c r="G300" s="8">
        <v>3232.0</v>
      </c>
      <c r="H300" s="8" t="s">
        <v>29</v>
      </c>
      <c r="I300" s="8" t="s">
        <v>63</v>
      </c>
      <c r="L300" s="8" t="s">
        <v>31</v>
      </c>
      <c r="M300" s="8" t="s">
        <v>34</v>
      </c>
      <c r="N300" s="8"/>
      <c r="O300" s="8"/>
      <c r="P300" s="9">
        <v>44109.0</v>
      </c>
      <c r="Q300" s="10">
        <v>0.027777777781011537</v>
      </c>
      <c r="R300" s="11" t="str">
        <f t="shared" si="1"/>
        <v>Пайка компонентов SEC</v>
      </c>
      <c r="S300" s="12" t="str">
        <f>iferror(VLOOKUP(C300,'ФИО'!A:B,2,0),"учётный код не найден")</f>
        <v>THT</v>
      </c>
      <c r="T300" s="13" t="str">
        <f t="shared" si="2"/>
        <v>915-00103.A - ПБОК-1В АСЛБ.465285.012 (Квант)</v>
      </c>
      <c r="U300" s="8">
        <v>27.0</v>
      </c>
      <c r="V300" s="8">
        <v>0.0</v>
      </c>
      <c r="W300" s="21" t="str">
        <f t="shared" si="36"/>
        <v>Данные не заполены</v>
      </c>
      <c r="X300" s="15" t="str">
        <f t="shared" si="31"/>
        <v>Данные не заполены</v>
      </c>
      <c r="Y300" s="15">
        <f t="shared" si="32"/>
        <v>0</v>
      </c>
    </row>
    <row r="301" hidden="1">
      <c r="A301" s="7">
        <v>44107.827807037036</v>
      </c>
      <c r="B301" s="8" t="s">
        <v>87</v>
      </c>
      <c r="C301" s="8">
        <v>22575.0</v>
      </c>
      <c r="D301" s="8" t="s">
        <v>27</v>
      </c>
      <c r="E301" s="8" t="s">
        <v>67</v>
      </c>
      <c r="G301" s="8">
        <v>3706.0</v>
      </c>
      <c r="H301" s="8" t="s">
        <v>45</v>
      </c>
      <c r="K301" s="8" t="s">
        <v>91</v>
      </c>
      <c r="L301" s="8" t="s">
        <v>37</v>
      </c>
      <c r="P301" s="9">
        <v>44107.0</v>
      </c>
      <c r="Q301" s="10">
        <v>0.13194444444444445</v>
      </c>
      <c r="R301" s="11" t="str">
        <f t="shared" si="1"/>
        <v>Сборка на линии Prim</v>
      </c>
      <c r="S301" s="16" t="str">
        <f>iferror(VLOOKUP(C301,'ФИО'!A:B,2,0),"учётный код не найден")</f>
        <v>Куликов Виктор Алексеевич</v>
      </c>
      <c r="T301" s="13" t="str">
        <f t="shared" si="2"/>
        <v>ПУ Сигма 10/15 910-00080.D</v>
      </c>
      <c r="U301" s="8">
        <v>0.0</v>
      </c>
      <c r="V301" s="8">
        <v>0.0</v>
      </c>
      <c r="W301" s="21" t="str">
        <f t="shared" si="36"/>
        <v>Данные не заполены</v>
      </c>
      <c r="X301" s="15" t="str">
        <f t="shared" si="31"/>
        <v>Данные не заполены</v>
      </c>
      <c r="Y301" s="15">
        <f t="shared" si="32"/>
        <v>0</v>
      </c>
      <c r="Z301" s="11"/>
    </row>
    <row r="302" hidden="1">
      <c r="A302" s="7">
        <v>44110.325701215275</v>
      </c>
      <c r="B302" s="8" t="s">
        <v>94</v>
      </c>
      <c r="C302" s="8">
        <v>60000.0</v>
      </c>
      <c r="D302" s="8" t="s">
        <v>69</v>
      </c>
      <c r="F302" s="8" t="s">
        <v>72</v>
      </c>
      <c r="G302" s="8">
        <v>3233.0</v>
      </c>
      <c r="H302" s="8" t="s">
        <v>29</v>
      </c>
      <c r="I302" s="8" t="s">
        <v>60</v>
      </c>
      <c r="L302" s="8" t="s">
        <v>31</v>
      </c>
      <c r="M302" s="8" t="s">
        <v>34</v>
      </c>
      <c r="N302" s="8"/>
      <c r="O302" s="8"/>
      <c r="P302" s="9">
        <v>44109.0</v>
      </c>
      <c r="Q302" s="10">
        <v>0.010416666664241347</v>
      </c>
      <c r="R302" s="11" t="str">
        <f t="shared" si="1"/>
        <v>Пайка компонентов PRI</v>
      </c>
      <c r="S302" s="12" t="str">
        <f>iferror(VLOOKUP(C302,'ФИО'!A:B,2,0),"учётный код не найден")</f>
        <v>THT</v>
      </c>
      <c r="T302" s="13" t="str">
        <f t="shared" si="2"/>
        <v>915-00102.A - ПБОК-2В АСЛБ.465285.013 (Квант)</v>
      </c>
      <c r="U302" s="8">
        <v>8.0</v>
      </c>
      <c r="V302" s="8">
        <v>0.0</v>
      </c>
      <c r="W302" s="21" t="str">
        <f t="shared" si="36"/>
        <v>Данные не заполены</v>
      </c>
      <c r="X302" s="15" t="str">
        <f t="shared" si="31"/>
        <v>Данные не заполены</v>
      </c>
      <c r="Y302" s="15">
        <f t="shared" si="32"/>
        <v>0</v>
      </c>
    </row>
    <row r="303" hidden="1">
      <c r="A303" s="7">
        <v>44110.32622778935</v>
      </c>
      <c r="B303" s="8" t="s">
        <v>94</v>
      </c>
      <c r="C303" s="8">
        <v>60000.0</v>
      </c>
      <c r="D303" s="8" t="s">
        <v>69</v>
      </c>
      <c r="F303" s="8" t="s">
        <v>80</v>
      </c>
      <c r="G303" s="8">
        <v>3233.0</v>
      </c>
      <c r="H303" s="8" t="s">
        <v>29</v>
      </c>
      <c r="I303" s="8" t="s">
        <v>60</v>
      </c>
      <c r="L303" s="8" t="s">
        <v>31</v>
      </c>
      <c r="M303" s="8" t="s">
        <v>34</v>
      </c>
      <c r="N303" s="8"/>
      <c r="O303" s="8"/>
      <c r="P303" s="9">
        <v>44109.0</v>
      </c>
      <c r="Q303" s="10">
        <v>0.010416666664241347</v>
      </c>
      <c r="R303" s="11" t="str">
        <f t="shared" si="1"/>
        <v>Пайка компонентов SEC</v>
      </c>
      <c r="S303" s="12" t="str">
        <f>iferror(VLOOKUP(C303,'ФИО'!A:B,2,0),"учётный код не найден")</f>
        <v>THT</v>
      </c>
      <c r="T303" s="13" t="str">
        <f t="shared" si="2"/>
        <v>915-00102.A - ПБОК-2В АСЛБ.465285.013 (Квант)</v>
      </c>
      <c r="U303" s="8">
        <v>8.0</v>
      </c>
      <c r="V303" s="8">
        <v>0.0</v>
      </c>
      <c r="W303" s="21" t="str">
        <f t="shared" si="36"/>
        <v>Данные не заполены</v>
      </c>
      <c r="X303" s="15" t="str">
        <f t="shared" si="31"/>
        <v>Данные не заполены</v>
      </c>
      <c r="Y303" s="15">
        <f t="shared" si="32"/>
        <v>0</v>
      </c>
    </row>
    <row r="304" hidden="1">
      <c r="A304" s="7">
        <v>44119.81562422454</v>
      </c>
      <c r="B304" s="8" t="s">
        <v>89</v>
      </c>
      <c r="C304" s="8">
        <v>20693.0</v>
      </c>
      <c r="D304" s="8" t="s">
        <v>27</v>
      </c>
      <c r="E304" s="8" t="s">
        <v>39</v>
      </c>
      <c r="G304" s="8">
        <v>3253.0</v>
      </c>
      <c r="H304" s="8" t="s">
        <v>29</v>
      </c>
      <c r="I304" s="8" t="s">
        <v>95</v>
      </c>
      <c r="L304" s="8" t="s">
        <v>31</v>
      </c>
      <c r="M304" s="8" t="s">
        <v>34</v>
      </c>
      <c r="P304" s="9">
        <v>44119.0</v>
      </c>
      <c r="Q304" s="10">
        <v>0.020833333335758653</v>
      </c>
      <c r="R304" s="11" t="str">
        <f t="shared" si="1"/>
        <v>Зарядка питателей Prim</v>
      </c>
      <c r="S304" s="16" t="str">
        <f>iferror(VLOOKUP(C304,'ФИО'!A:B,2,0),"учётный код не найден")</f>
        <v>Аникина Раиса Владимировна</v>
      </c>
      <c r="T304" s="13" t="str">
        <f t="shared" si="2"/>
        <v>915-00095.A - ПКД-8В-1 АСЛБ.467249.108 (Квант)</v>
      </c>
      <c r="U304" s="8">
        <v>30.0</v>
      </c>
      <c r="V304" s="8">
        <v>0.0</v>
      </c>
      <c r="W304" s="17" t="str">
        <f t="shared" si="36"/>
        <v>Данные не заполены</v>
      </c>
      <c r="X304" s="14" t="str">
        <f t="shared" si="31"/>
        <v>Данные не заполены</v>
      </c>
      <c r="Y304" s="15">
        <f t="shared" si="32"/>
        <v>0</v>
      </c>
    </row>
    <row r="305" hidden="1">
      <c r="A305" s="7">
        <v>44127.313144189815</v>
      </c>
      <c r="B305" s="8" t="s">
        <v>94</v>
      </c>
      <c r="C305" s="8">
        <v>21928.0</v>
      </c>
      <c r="D305" s="8" t="s">
        <v>27</v>
      </c>
      <c r="E305" s="8" t="s">
        <v>39</v>
      </c>
      <c r="G305" s="8">
        <v>3804.0</v>
      </c>
      <c r="H305" s="8" t="s">
        <v>45</v>
      </c>
      <c r="K305" s="8" t="s">
        <v>52</v>
      </c>
      <c r="L305" s="8" t="s">
        <v>31</v>
      </c>
      <c r="M305" s="8" t="s">
        <v>34</v>
      </c>
      <c r="P305" s="9">
        <v>44126.0</v>
      </c>
      <c r="Q305" s="10">
        <v>0.013888888890505768</v>
      </c>
      <c r="R305" s="11" t="str">
        <f t="shared" si="1"/>
        <v>Зарядка питателей Prim</v>
      </c>
      <c r="S305" s="16" t="str">
        <f>iferror(VLOOKUP(C305,'ФИО'!A:B,2,0),"учётный код не найден")</f>
        <v>Савченко Виктория Андреевна</v>
      </c>
      <c r="T305" s="13" t="str">
        <f t="shared" si="2"/>
        <v>М17V2 (900-00018.D)_910-00023.H и ПУ 910-00012.I</v>
      </c>
      <c r="U305" s="8">
        <v>21.0</v>
      </c>
      <c r="V305" s="8">
        <v>0.0</v>
      </c>
      <c r="W305" s="17" t="str">
        <f t="shared" si="36"/>
        <v>Данные не заполены</v>
      </c>
      <c r="X305" s="14" t="str">
        <f t="shared" si="31"/>
        <v>Данные не заполены</v>
      </c>
      <c r="Y305" s="15">
        <f t="shared" si="32"/>
        <v>0</v>
      </c>
    </row>
    <row r="306" hidden="1">
      <c r="A306" s="7">
        <v>44124.31237148149</v>
      </c>
      <c r="B306" s="8" t="s">
        <v>38</v>
      </c>
      <c r="C306" s="8">
        <v>20751.0</v>
      </c>
      <c r="D306" s="8" t="s">
        <v>27</v>
      </c>
      <c r="E306" s="8" t="s">
        <v>50</v>
      </c>
      <c r="L306" s="8" t="s">
        <v>31</v>
      </c>
      <c r="M306" s="8" t="s">
        <v>34</v>
      </c>
      <c r="P306" s="9">
        <v>44123.0</v>
      </c>
      <c r="Q306" s="10">
        <v>0.020833333335758653</v>
      </c>
      <c r="R306" s="11" t="str">
        <f t="shared" si="1"/>
        <v>Заполнение отчёта</v>
      </c>
      <c r="S306" s="16" t="str">
        <f>iferror(VLOOKUP(C306,'ФИО'!A:B,2,0),"учётный код не найден")</f>
        <v>Кезерев Виталий Романович</v>
      </c>
      <c r="T306" s="13" t="str">
        <f t="shared" si="2"/>
        <v/>
      </c>
      <c r="U306" s="8">
        <v>0.0</v>
      </c>
      <c r="V306" s="8">
        <v>0.0</v>
      </c>
      <c r="X306" s="14" t="str">
        <f t="shared" si="31"/>
        <v>Данные не заполены</v>
      </c>
      <c r="Y306" s="15">
        <f t="shared" si="32"/>
        <v>0</v>
      </c>
    </row>
    <row r="307" hidden="1">
      <c r="A307" s="7">
        <v>44129.81523681713</v>
      </c>
      <c r="B307" s="8" t="s">
        <v>26</v>
      </c>
      <c r="C307" s="8">
        <v>22087.0</v>
      </c>
      <c r="D307" s="8" t="s">
        <v>69</v>
      </c>
      <c r="F307" s="8" t="s">
        <v>106</v>
      </c>
      <c r="G307" s="8">
        <v>3047.0</v>
      </c>
      <c r="H307" s="8" t="s">
        <v>29</v>
      </c>
      <c r="I307" s="8" t="s">
        <v>77</v>
      </c>
      <c r="L307" s="8" t="s">
        <v>31</v>
      </c>
      <c r="M307" s="8" t="s">
        <v>34</v>
      </c>
      <c r="P307" s="9">
        <v>44129.0</v>
      </c>
      <c r="Q307" s="10">
        <v>0.020833333335758653</v>
      </c>
      <c r="R307" s="11" t="str">
        <f t="shared" si="1"/>
        <v>Настройка SEHO PRI</v>
      </c>
      <c r="S307" s="12" t="str">
        <f>iferror(VLOOKUP(C307,'ФИО'!A:B,2,0),"учётный код не найден")</f>
        <v>Хохряков Илья Александрович</v>
      </c>
      <c r="T307" s="13" t="str">
        <f t="shared" si="2"/>
        <v>915-00081.A-Модуль Трик8 (Кибертех)</v>
      </c>
      <c r="U307" s="8">
        <v>0.0</v>
      </c>
      <c r="V307" s="8">
        <v>0.0</v>
      </c>
      <c r="X307" s="14" t="str">
        <f t="shared" si="31"/>
        <v>Данные не заполены</v>
      </c>
      <c r="Y307" s="15">
        <f t="shared" si="32"/>
        <v>0</v>
      </c>
    </row>
    <row r="308" hidden="1">
      <c r="A308" s="7">
        <v>44107.82808018519</v>
      </c>
      <c r="B308" s="8" t="s">
        <v>87</v>
      </c>
      <c r="C308" s="8">
        <v>22575.0</v>
      </c>
      <c r="D308" s="8" t="s">
        <v>27</v>
      </c>
      <c r="E308" s="8" t="s">
        <v>111</v>
      </c>
      <c r="L308" s="8" t="s">
        <v>31</v>
      </c>
      <c r="M308" s="8" t="s">
        <v>34</v>
      </c>
      <c r="N308" s="8"/>
      <c r="O308" s="8"/>
      <c r="P308" s="9">
        <v>44107.0</v>
      </c>
      <c r="Q308" s="10">
        <v>0.0034722222189884633</v>
      </c>
      <c r="R308" s="11" t="str">
        <f t="shared" si="1"/>
        <v>Уборка линии</v>
      </c>
      <c r="S308" s="16" t="str">
        <f>iferror(VLOOKUP(C308,'ФИО'!A:B,2,0),"учётный код не найден")</f>
        <v>Куликов Виктор Алексеевич</v>
      </c>
      <c r="T308" s="13" t="str">
        <f t="shared" si="2"/>
        <v/>
      </c>
      <c r="W308" s="21" t="str">
        <f t="shared" ref="W308:W309" si="37">IFERROR((((38412/(ifs(O308&lt;35,35,O308&gt;34,O308)/N308)*0.7))),"Данные не заполены")</f>
        <v>Данные не заполены</v>
      </c>
      <c r="X308" s="15" t="str">
        <f t="shared" si="31"/>
        <v>Данные не заполены</v>
      </c>
      <c r="Y308" s="15">
        <f t="shared" si="32"/>
        <v>0</v>
      </c>
      <c r="Z308" s="11"/>
    </row>
    <row r="309" hidden="1">
      <c r="A309" s="7">
        <v>44110.32828256945</v>
      </c>
      <c r="B309" s="8" t="s">
        <v>94</v>
      </c>
      <c r="C309" s="8">
        <v>22575.0</v>
      </c>
      <c r="D309" s="8" t="s">
        <v>27</v>
      </c>
      <c r="E309" s="8" t="s">
        <v>39</v>
      </c>
      <c r="G309" s="8">
        <v>3234.0</v>
      </c>
      <c r="H309" s="8" t="s">
        <v>29</v>
      </c>
      <c r="I309" s="8" t="s">
        <v>135</v>
      </c>
      <c r="L309" s="8" t="s">
        <v>31</v>
      </c>
      <c r="M309" s="8" t="s">
        <v>34</v>
      </c>
      <c r="N309" s="8"/>
      <c r="O309" s="8"/>
      <c r="P309" s="9">
        <v>44109.0</v>
      </c>
      <c r="Q309" s="10">
        <v>0.020833333335758653</v>
      </c>
      <c r="R309" s="11" t="str">
        <f t="shared" si="1"/>
        <v>Зарядка питателей Prim</v>
      </c>
      <c r="S309" s="16" t="str">
        <f>iferror(VLOOKUP(C309,'ФИО'!A:B,2,0),"учётный код не найден")</f>
        <v>Куликов Виктор Алексеевич</v>
      </c>
      <c r="T309" s="13" t="str">
        <f t="shared" si="2"/>
        <v>915-00101.A - ПКД-9В АСЛБ.467249.107 (Квант)</v>
      </c>
      <c r="U309" s="8">
        <v>30.0</v>
      </c>
      <c r="V309" s="8">
        <v>0.0</v>
      </c>
      <c r="W309" s="21" t="str">
        <f t="shared" si="37"/>
        <v>Данные не заполены</v>
      </c>
      <c r="X309" s="15" t="str">
        <f t="shared" si="31"/>
        <v>Данные не заполены</v>
      </c>
      <c r="Y309" s="15">
        <f t="shared" si="32"/>
        <v>0</v>
      </c>
    </row>
    <row r="310" hidden="1">
      <c r="A310" s="7">
        <v>44133.32338008102</v>
      </c>
      <c r="B310" s="8" t="s">
        <v>38</v>
      </c>
      <c r="C310" s="8">
        <v>21752.0</v>
      </c>
      <c r="D310" s="8" t="s">
        <v>27</v>
      </c>
      <c r="E310" s="8" t="s">
        <v>51</v>
      </c>
      <c r="G310" s="8">
        <v>3412.0</v>
      </c>
      <c r="H310" s="8" t="s">
        <v>45</v>
      </c>
      <c r="K310" s="8" t="s">
        <v>156</v>
      </c>
      <c r="L310" s="8" t="s">
        <v>31</v>
      </c>
      <c r="M310" s="8" t="s">
        <v>34</v>
      </c>
      <c r="P310" s="9">
        <v>44132.0</v>
      </c>
      <c r="Q310" s="10">
        <v>0.020833333335758653</v>
      </c>
      <c r="R310" s="11" t="str">
        <f t="shared" si="1"/>
        <v>Внутрисхемное тестирование ICT</v>
      </c>
      <c r="S310" s="12" t="str">
        <f>iferror(VLOOKUP(C310,'ФИО'!A:B,2,0),"учётный код не найден")</f>
        <v>Егоров Александр Александрович</v>
      </c>
      <c r="T310" s="13" t="str">
        <f t="shared" si="2"/>
        <v>ПУ M66</v>
      </c>
      <c r="U310" s="8">
        <v>0.0</v>
      </c>
      <c r="V310" s="8">
        <v>30.0</v>
      </c>
      <c r="X310" s="14" t="str">
        <f t="shared" si="31"/>
        <v>Данные не заполены</v>
      </c>
      <c r="Y310" s="15">
        <f t="shared" si="32"/>
        <v>30</v>
      </c>
    </row>
    <row r="311" hidden="1">
      <c r="A311" s="7">
        <v>44110.329754907405</v>
      </c>
      <c r="B311" s="8" t="s">
        <v>94</v>
      </c>
      <c r="C311" s="8">
        <v>22575.0</v>
      </c>
      <c r="D311" s="8" t="s">
        <v>27</v>
      </c>
      <c r="E311" s="8" t="s">
        <v>121</v>
      </c>
      <c r="G311" s="8">
        <v>3234.0</v>
      </c>
      <c r="H311" s="8" t="s">
        <v>29</v>
      </c>
      <c r="I311" s="8" t="s">
        <v>135</v>
      </c>
      <c r="L311" s="8" t="s">
        <v>31</v>
      </c>
      <c r="M311" s="8" t="s">
        <v>34</v>
      </c>
      <c r="N311" s="8"/>
      <c r="O311" s="8"/>
      <c r="P311" s="9">
        <v>44109.0</v>
      </c>
      <c r="Q311" s="10">
        <v>0.0034722222189884633</v>
      </c>
      <c r="R311" s="11" t="str">
        <f t="shared" si="1"/>
        <v>Настройка линии Secondary</v>
      </c>
      <c r="S311" s="16" t="str">
        <f>iferror(VLOOKUP(C311,'ФИО'!A:B,2,0),"учётный код не найден")</f>
        <v>Куликов Виктор Алексеевич</v>
      </c>
      <c r="T311" s="13" t="str">
        <f t="shared" si="2"/>
        <v>915-00101.A - ПКД-9В АСЛБ.467249.107 (Квант)</v>
      </c>
      <c r="U311" s="8">
        <v>0.0</v>
      </c>
      <c r="V311" s="8">
        <v>0.0</v>
      </c>
      <c r="W311" s="21" t="str">
        <f t="shared" ref="W311:W326" si="38">IFERROR((((38412/(ifs(O311&lt;35,35,O311&gt;34,O311)/N311)*0.7))),"Данные не заполены")</f>
        <v>Данные не заполены</v>
      </c>
      <c r="X311" s="15" t="str">
        <f t="shared" si="31"/>
        <v>Данные не заполены</v>
      </c>
      <c r="Y311" s="15">
        <f t="shared" si="32"/>
        <v>0</v>
      </c>
    </row>
    <row r="312" hidden="1">
      <c r="A312" s="7">
        <v>44110.330907083335</v>
      </c>
      <c r="B312" s="8" t="s">
        <v>94</v>
      </c>
      <c r="C312" s="8">
        <v>22575.0</v>
      </c>
      <c r="D312" s="8" t="s">
        <v>27</v>
      </c>
      <c r="E312" s="8" t="s">
        <v>55</v>
      </c>
      <c r="G312" s="8">
        <v>3234.0</v>
      </c>
      <c r="H312" s="8" t="s">
        <v>29</v>
      </c>
      <c r="I312" s="8" t="s">
        <v>135</v>
      </c>
      <c r="L312" s="8" t="s">
        <v>31</v>
      </c>
      <c r="M312" s="8" t="s">
        <v>157</v>
      </c>
      <c r="N312" s="8"/>
      <c r="O312" s="8"/>
      <c r="P312" s="9">
        <v>44109.0</v>
      </c>
      <c r="Q312" s="10">
        <v>0.0034722222189884633</v>
      </c>
      <c r="R312" s="11" t="str">
        <f t="shared" si="1"/>
        <v>Маркировка плат</v>
      </c>
      <c r="S312" s="16" t="str">
        <f>iferror(VLOOKUP(C312,'ФИО'!A:B,2,0),"учётный код не найден")</f>
        <v>Куликов Виктор Алексеевич</v>
      </c>
      <c r="T312" s="13" t="str">
        <f t="shared" si="2"/>
        <v>915-00101.A - ПКД-9В АСЛБ.467249.107 (Квант)</v>
      </c>
      <c r="U312" s="8">
        <v>70.0</v>
      </c>
      <c r="V312" s="8">
        <v>0.0</v>
      </c>
      <c r="W312" s="21" t="str">
        <f t="shared" si="38"/>
        <v>Данные не заполены</v>
      </c>
      <c r="X312" s="15" t="str">
        <f t="shared" si="31"/>
        <v>Данные не заполены</v>
      </c>
      <c r="Y312" s="15">
        <f t="shared" si="32"/>
        <v>0</v>
      </c>
      <c r="Z312" s="8" t="s">
        <v>157</v>
      </c>
    </row>
    <row r="313" hidden="1">
      <c r="A313" s="7">
        <v>44110.33200525463</v>
      </c>
      <c r="B313" s="8" t="s">
        <v>94</v>
      </c>
      <c r="C313" s="8">
        <v>22575.0</v>
      </c>
      <c r="D313" s="8" t="s">
        <v>27</v>
      </c>
      <c r="E313" s="8" t="s">
        <v>121</v>
      </c>
      <c r="G313" s="8">
        <v>3726.0</v>
      </c>
      <c r="H313" s="8" t="s">
        <v>45</v>
      </c>
      <c r="K313" s="8" t="s">
        <v>58</v>
      </c>
      <c r="L313" s="8" t="s">
        <v>31</v>
      </c>
      <c r="M313" s="8" t="s">
        <v>34</v>
      </c>
      <c r="N313" s="8"/>
      <c r="O313" s="8"/>
      <c r="P313" s="9">
        <v>44109.0</v>
      </c>
      <c r="Q313" s="10">
        <v>0.0034722222189884633</v>
      </c>
      <c r="R313" s="11" t="str">
        <f t="shared" si="1"/>
        <v>Настройка линии Secondary</v>
      </c>
      <c r="S313" s="16" t="str">
        <f>iferror(VLOOKUP(C313,'ФИО'!A:B,2,0),"учётный код не найден")</f>
        <v>Куликов Виктор Алексеевич</v>
      </c>
      <c r="T313" s="13" t="str">
        <f t="shared" si="2"/>
        <v>ПУ метки i95</v>
      </c>
      <c r="U313" s="8">
        <v>0.0</v>
      </c>
      <c r="V313" s="8">
        <v>0.0</v>
      </c>
      <c r="W313" s="21" t="str">
        <f t="shared" si="38"/>
        <v>Данные не заполены</v>
      </c>
      <c r="X313" s="15" t="str">
        <f t="shared" si="31"/>
        <v>Данные не заполены</v>
      </c>
      <c r="Y313" s="15">
        <f t="shared" si="32"/>
        <v>0</v>
      </c>
    </row>
    <row r="314" hidden="1">
      <c r="A314" s="7">
        <v>44115.31184275463</v>
      </c>
      <c r="B314" s="8" t="s">
        <v>76</v>
      </c>
      <c r="C314" s="8">
        <v>21504.0</v>
      </c>
      <c r="D314" s="8" t="s">
        <v>69</v>
      </c>
      <c r="F314" s="8" t="s">
        <v>55</v>
      </c>
      <c r="G314" s="8">
        <v>3769.0</v>
      </c>
      <c r="H314" s="8" t="s">
        <v>45</v>
      </c>
      <c r="K314" s="8" t="s">
        <v>158</v>
      </c>
      <c r="L314" s="8" t="s">
        <v>31</v>
      </c>
      <c r="M314" s="8" t="s">
        <v>159</v>
      </c>
      <c r="N314" s="8"/>
      <c r="O314" s="8"/>
      <c r="P314" s="9">
        <v>44114.0</v>
      </c>
      <c r="Q314" s="10">
        <v>0.08333333333575865</v>
      </c>
      <c r="R314" s="11" t="str">
        <f t="shared" si="1"/>
        <v>Маркировка плат</v>
      </c>
      <c r="S314" s="16" t="str">
        <f>iferror(VLOOKUP(C314,'ФИО'!A:B,2,0),"учётный код не найден")</f>
        <v>Александрова Елена Сергеевна</v>
      </c>
      <c r="T314" s="13" t="str">
        <f t="shared" si="2"/>
        <v>ПУ модуля A96 GSM+BT (910-00230.A)</v>
      </c>
      <c r="U314" s="8">
        <v>0.0</v>
      </c>
      <c r="V314" s="8">
        <v>0.0</v>
      </c>
      <c r="W314" s="21" t="str">
        <f t="shared" si="38"/>
        <v>Данные не заполены</v>
      </c>
      <c r="X314" s="15" t="str">
        <f t="shared" si="31"/>
        <v>Данные не заполены</v>
      </c>
      <c r="Y314" s="15">
        <f t="shared" si="32"/>
        <v>0</v>
      </c>
    </row>
    <row r="315" hidden="1">
      <c r="A315" s="7">
        <v>44109.3307687037</v>
      </c>
      <c r="B315" s="8" t="s">
        <v>38</v>
      </c>
      <c r="C315" s="8">
        <v>21522.0</v>
      </c>
      <c r="D315" s="8" t="s">
        <v>69</v>
      </c>
      <c r="F315" s="8" t="s">
        <v>106</v>
      </c>
      <c r="G315" s="8">
        <v>3232.0</v>
      </c>
      <c r="H315" s="8" t="s">
        <v>29</v>
      </c>
      <c r="I315" s="8" t="s">
        <v>60</v>
      </c>
      <c r="L315" s="8" t="s">
        <v>31</v>
      </c>
      <c r="M315" s="8" t="s">
        <v>34</v>
      </c>
      <c r="N315" s="8"/>
      <c r="O315" s="8"/>
      <c r="P315" s="9">
        <v>44108.0</v>
      </c>
      <c r="Q315" s="10">
        <v>0.04166666666424135</v>
      </c>
      <c r="R315" s="11" t="str">
        <f t="shared" si="1"/>
        <v>Настройка SEHO PRI</v>
      </c>
      <c r="S315" s="16" t="str">
        <f>iferror(VLOOKUP(C315,'ФИО'!A:B,2,0),"учётный код не найден")</f>
        <v>Исаев Никита Дмитриевич</v>
      </c>
      <c r="T315" s="13" t="str">
        <f t="shared" si="2"/>
        <v>915-00102.A - ПБОК-2В АСЛБ.465285.013 (Квант)</v>
      </c>
      <c r="U315" s="8">
        <v>0.0</v>
      </c>
      <c r="V315" s="8">
        <v>0.0</v>
      </c>
      <c r="W315" s="21" t="str">
        <f t="shared" si="38"/>
        <v>Данные не заполены</v>
      </c>
      <c r="X315" s="15" t="str">
        <f t="shared" si="31"/>
        <v>Данные не заполены</v>
      </c>
      <c r="Y315" s="15">
        <f t="shared" si="32"/>
        <v>0</v>
      </c>
    </row>
    <row r="316" hidden="1">
      <c r="A316" s="7">
        <v>44120.66245752315</v>
      </c>
      <c r="B316" s="8" t="s">
        <v>26</v>
      </c>
      <c r="C316" s="8">
        <v>20015.0</v>
      </c>
      <c r="D316" s="8" t="s">
        <v>69</v>
      </c>
      <c r="F316" s="8" t="s">
        <v>50</v>
      </c>
      <c r="L316" s="8" t="s">
        <v>31</v>
      </c>
      <c r="M316" s="8" t="s">
        <v>34</v>
      </c>
      <c r="P316" s="9">
        <v>44120.0</v>
      </c>
      <c r="Q316" s="10">
        <v>0.020833333335758653</v>
      </c>
      <c r="R316" s="11" t="str">
        <f t="shared" si="1"/>
        <v>Заполнение отчёта</v>
      </c>
      <c r="S316" s="16" t="str">
        <f>iferror(VLOOKUP(C316,'ФИО'!A:B,2,0),"учётный код не найден")</f>
        <v>Ельцов Андрей Николаевич</v>
      </c>
      <c r="T316" s="13" t="str">
        <f t="shared" si="2"/>
        <v/>
      </c>
      <c r="W316" s="17" t="str">
        <f t="shared" si="38"/>
        <v>Данные не заполены</v>
      </c>
      <c r="X316" s="14" t="str">
        <f t="shared" si="31"/>
        <v>Данные не заполены</v>
      </c>
      <c r="Y316" s="15">
        <f t="shared" si="32"/>
        <v>0</v>
      </c>
    </row>
    <row r="317" hidden="1">
      <c r="A317" s="7">
        <v>44127.80357380787</v>
      </c>
      <c r="B317" s="8" t="s">
        <v>89</v>
      </c>
      <c r="C317" s="8">
        <v>20015.0</v>
      </c>
      <c r="D317" s="8" t="s">
        <v>27</v>
      </c>
      <c r="E317" s="8" t="s">
        <v>50</v>
      </c>
      <c r="L317" s="8" t="s">
        <v>31</v>
      </c>
      <c r="M317" s="8" t="s">
        <v>34</v>
      </c>
      <c r="P317" s="9">
        <v>44127.0</v>
      </c>
      <c r="Q317" s="10">
        <v>0.010416666664241347</v>
      </c>
      <c r="R317" s="11" t="str">
        <f t="shared" si="1"/>
        <v>Заполнение отчёта</v>
      </c>
      <c r="S317" s="16" t="str">
        <f>iferror(VLOOKUP(C317,'ФИО'!A:B,2,0),"учётный код не найден")</f>
        <v>Ельцов Андрей Николаевич</v>
      </c>
      <c r="T317" s="13" t="str">
        <f t="shared" si="2"/>
        <v/>
      </c>
      <c r="W317" s="17" t="str">
        <f t="shared" si="38"/>
        <v>Данные не заполены</v>
      </c>
      <c r="X317" s="14" t="str">
        <f t="shared" si="31"/>
        <v>Данные не заполены</v>
      </c>
      <c r="Y317" s="15">
        <f t="shared" si="32"/>
        <v>0</v>
      </c>
    </row>
    <row r="318" hidden="1">
      <c r="A318" s="7">
        <v>44135.70828856481</v>
      </c>
      <c r="B318" s="8" t="s">
        <v>89</v>
      </c>
      <c r="C318" s="8">
        <v>20015.0</v>
      </c>
      <c r="D318" s="8" t="s">
        <v>27</v>
      </c>
      <c r="E318" s="8" t="s">
        <v>50</v>
      </c>
      <c r="L318" s="8" t="s">
        <v>31</v>
      </c>
      <c r="M318" s="8" t="s">
        <v>34</v>
      </c>
      <c r="P318" s="9">
        <v>44135.0</v>
      </c>
      <c r="Q318" s="10">
        <v>0.006944444445252884</v>
      </c>
      <c r="R318" s="11" t="str">
        <f t="shared" si="1"/>
        <v>Заполнение отчёта</v>
      </c>
      <c r="S318" s="16" t="str">
        <f>iferror(VLOOKUP(C318,'ФИО'!A:B,2,0),"учётный код не найден")</f>
        <v>Ельцов Андрей Николаевич</v>
      </c>
      <c r="T318" s="13" t="str">
        <f t="shared" si="2"/>
        <v/>
      </c>
      <c r="W318" s="17" t="str">
        <f t="shared" si="38"/>
        <v>Данные не заполены</v>
      </c>
      <c r="X318" s="14" t="str">
        <f t="shared" si="31"/>
        <v>Данные не заполены</v>
      </c>
      <c r="Y318" s="15">
        <f t="shared" si="32"/>
        <v>0</v>
      </c>
    </row>
    <row r="319" hidden="1">
      <c r="A319" s="7">
        <v>44125.82406509259</v>
      </c>
      <c r="B319" s="8" t="s">
        <v>127</v>
      </c>
      <c r="C319" s="8">
        <v>20849.0</v>
      </c>
      <c r="D319" s="8" t="s">
        <v>27</v>
      </c>
      <c r="E319" s="8" t="s">
        <v>160</v>
      </c>
      <c r="G319" s="8">
        <v>3802.0</v>
      </c>
      <c r="H319" s="8" t="s">
        <v>45</v>
      </c>
      <c r="K319" s="8" t="s">
        <v>120</v>
      </c>
      <c r="L319" s="8" t="s">
        <v>31</v>
      </c>
      <c r="M319" s="8" t="s">
        <v>34</v>
      </c>
      <c r="P319" s="9">
        <v>44125.0</v>
      </c>
      <c r="Q319" s="10">
        <v>0.08333333333575865</v>
      </c>
      <c r="R319" s="11" t="str">
        <f t="shared" si="1"/>
        <v>Проверка программы установщиков</v>
      </c>
      <c r="S319" s="16" t="str">
        <f>iferror(VLOOKUP(C319,'ФИО'!A:B,2,0),"учётный код не найден")</f>
        <v>Шилоносов Максим Евгеньевич</v>
      </c>
      <c r="T319" s="11" t="str">
        <f t="shared" si="2"/>
        <v>М15ECO (900-00030.С) 910-00034.C/910-00041.C</v>
      </c>
      <c r="U319" s="8">
        <v>0.0</v>
      </c>
      <c r="V319" s="8">
        <v>0.0</v>
      </c>
      <c r="W319" s="17" t="str">
        <f t="shared" si="38"/>
        <v>Данные не заполены</v>
      </c>
      <c r="X319" s="14" t="str">
        <f t="shared" si="31"/>
        <v>Данные не заполены</v>
      </c>
      <c r="Y319" s="15">
        <f t="shared" si="32"/>
        <v>0</v>
      </c>
    </row>
    <row r="320" hidden="1">
      <c r="A320" s="7">
        <v>44111.29277325231</v>
      </c>
      <c r="B320" s="8" t="s">
        <v>94</v>
      </c>
      <c r="C320" s="8">
        <v>20985.0</v>
      </c>
      <c r="D320" s="8" t="s">
        <v>69</v>
      </c>
      <c r="F320" s="8" t="s">
        <v>161</v>
      </c>
      <c r="G320" s="8">
        <v>3238.0</v>
      </c>
      <c r="H320" s="8" t="s">
        <v>29</v>
      </c>
      <c r="I320" s="8" t="s">
        <v>43</v>
      </c>
      <c r="L320" s="8" t="s">
        <v>31</v>
      </c>
      <c r="M320" s="8" t="s">
        <v>34</v>
      </c>
      <c r="N320" s="8"/>
      <c r="O320" s="8"/>
      <c r="P320" s="9">
        <v>44110.0</v>
      </c>
      <c r="Q320" s="10">
        <v>0.08333333333575865</v>
      </c>
      <c r="R320" s="11" t="str">
        <f t="shared" si="1"/>
        <v>Написание программы для SEHO PRI</v>
      </c>
      <c r="S320" s="16" t="str">
        <f>iferror(VLOOKUP(C320,'ФИО'!A:B,2,0),"учётный код не найден")</f>
        <v>Никонорова Наталия Владимировна</v>
      </c>
      <c r="T320" s="13" t="str">
        <f t="shared" si="2"/>
        <v>915-00097.A - ПКД-8В-3 АСЛБ.467249.110 (Квант)</v>
      </c>
      <c r="U320" s="8">
        <v>0.0</v>
      </c>
      <c r="V320" s="8">
        <v>0.0</v>
      </c>
      <c r="W320" s="21" t="str">
        <f t="shared" si="38"/>
        <v>Данные не заполены</v>
      </c>
      <c r="X320" s="15" t="str">
        <f t="shared" si="31"/>
        <v>Данные не заполены</v>
      </c>
      <c r="Y320" s="15">
        <f t="shared" si="32"/>
        <v>0</v>
      </c>
    </row>
    <row r="321" hidden="1">
      <c r="A321" s="7">
        <v>44126.31649197917</v>
      </c>
      <c r="B321" s="8" t="s">
        <v>94</v>
      </c>
      <c r="C321" s="8">
        <v>20985.0</v>
      </c>
      <c r="D321" s="8" t="s">
        <v>69</v>
      </c>
      <c r="F321" s="8" t="s">
        <v>161</v>
      </c>
      <c r="G321" s="8">
        <v>3253.0</v>
      </c>
      <c r="H321" s="8" t="s">
        <v>29</v>
      </c>
      <c r="I321" s="8" t="s">
        <v>95</v>
      </c>
      <c r="L321" s="8" t="s">
        <v>31</v>
      </c>
      <c r="M321" s="8" t="s">
        <v>34</v>
      </c>
      <c r="P321" s="9">
        <v>44125.0</v>
      </c>
      <c r="Q321" s="10">
        <v>0.020833333335758653</v>
      </c>
      <c r="R321" s="11" t="str">
        <f t="shared" si="1"/>
        <v>Написание программы для SEHO PRI</v>
      </c>
      <c r="S321" s="16" t="str">
        <f>iferror(VLOOKUP(C321,'ФИО'!A:B,2,0),"учётный код не найден")</f>
        <v>Никонорова Наталия Владимировна</v>
      </c>
      <c r="T321" s="13" t="str">
        <f t="shared" si="2"/>
        <v>915-00095.A - ПКД-8В-1 АСЛБ.467249.108 (Квант)</v>
      </c>
      <c r="U321" s="8">
        <v>0.0</v>
      </c>
      <c r="V321" s="8">
        <v>0.0</v>
      </c>
      <c r="W321" s="17" t="str">
        <f t="shared" si="38"/>
        <v>Данные не заполены</v>
      </c>
      <c r="X321" s="14" t="str">
        <f t="shared" si="31"/>
        <v>Данные не заполены</v>
      </c>
      <c r="Y321" s="15">
        <f t="shared" si="32"/>
        <v>0</v>
      </c>
    </row>
    <row r="322" hidden="1">
      <c r="A322" s="7">
        <v>44126.81699359954</v>
      </c>
      <c r="B322" s="8" t="s">
        <v>89</v>
      </c>
      <c r="C322" s="8">
        <v>21852.0</v>
      </c>
      <c r="D322" s="8" t="s">
        <v>69</v>
      </c>
      <c r="F322" s="8" t="s">
        <v>161</v>
      </c>
      <c r="G322" s="8">
        <v>3253.0</v>
      </c>
      <c r="H322" s="8" t="s">
        <v>29</v>
      </c>
      <c r="I322" s="8" t="s">
        <v>95</v>
      </c>
      <c r="L322" s="8" t="s">
        <v>31</v>
      </c>
      <c r="M322" s="8" t="s">
        <v>34</v>
      </c>
      <c r="P322" s="9">
        <v>44126.0</v>
      </c>
      <c r="Q322" s="10">
        <v>0.16666666666424135</v>
      </c>
      <c r="R322" s="11" t="str">
        <f t="shared" si="1"/>
        <v>Написание программы для SEHO PRI</v>
      </c>
      <c r="S322" s="16" t="str">
        <f>iferror(VLOOKUP(C322,'ФИО'!A:B,2,0),"учётный код не найден")</f>
        <v>Пономарев Юрий Андреевич</v>
      </c>
      <c r="T322" s="13" t="str">
        <f t="shared" si="2"/>
        <v>915-00095.A - ПКД-8В-1 АСЛБ.467249.108 (Квант)</v>
      </c>
      <c r="U322" s="8">
        <v>0.0</v>
      </c>
      <c r="V322" s="8">
        <v>0.0</v>
      </c>
      <c r="W322" s="17" t="str">
        <f t="shared" si="38"/>
        <v>Данные не заполены</v>
      </c>
      <c r="X322" s="14" t="str">
        <f t="shared" si="31"/>
        <v>Данные не заполены</v>
      </c>
      <c r="Y322" s="15">
        <f t="shared" si="32"/>
        <v>0</v>
      </c>
    </row>
    <row r="323" hidden="1">
      <c r="A323" s="7">
        <v>44126.81761304398</v>
      </c>
      <c r="B323" s="8" t="s">
        <v>89</v>
      </c>
      <c r="C323" s="8">
        <v>21852.0</v>
      </c>
      <c r="D323" s="8" t="s">
        <v>69</v>
      </c>
      <c r="F323" s="8" t="s">
        <v>161</v>
      </c>
      <c r="G323" s="8">
        <v>3252.0</v>
      </c>
      <c r="H323" s="8" t="s">
        <v>29</v>
      </c>
      <c r="I323" s="8" t="s">
        <v>96</v>
      </c>
      <c r="L323" s="8" t="s">
        <v>31</v>
      </c>
      <c r="M323" s="8" t="s">
        <v>34</v>
      </c>
      <c r="P323" s="9">
        <v>44126.0</v>
      </c>
      <c r="Q323" s="10">
        <v>0.04166666666424135</v>
      </c>
      <c r="R323" s="11" t="str">
        <f t="shared" si="1"/>
        <v>Написание программы для SEHO PRI</v>
      </c>
      <c r="S323" s="16" t="str">
        <f>iferror(VLOOKUP(C323,'ФИО'!A:B,2,0),"учётный код не найден")</f>
        <v>Пономарев Юрий Андреевич</v>
      </c>
      <c r="T323" s="13" t="str">
        <f t="shared" si="2"/>
        <v>915-00096.A - ПКД-8В-2 АСЛБ.467249.109</v>
      </c>
      <c r="U323" s="8">
        <v>0.0</v>
      </c>
      <c r="V323" s="8">
        <v>0.0</v>
      </c>
      <c r="W323" s="17" t="str">
        <f t="shared" si="38"/>
        <v>Данные не заполены</v>
      </c>
      <c r="X323" s="14" t="str">
        <f t="shared" si="31"/>
        <v>Данные не заполены</v>
      </c>
      <c r="Y323" s="15">
        <f t="shared" si="32"/>
        <v>0</v>
      </c>
    </row>
    <row r="324" hidden="1">
      <c r="A324" s="7">
        <v>44133.33803318287</v>
      </c>
      <c r="B324" s="8" t="s">
        <v>127</v>
      </c>
      <c r="C324" s="8">
        <v>20849.0</v>
      </c>
      <c r="D324" s="8" t="s">
        <v>27</v>
      </c>
      <c r="E324" s="8" t="s">
        <v>160</v>
      </c>
      <c r="G324" s="8">
        <v>3621.0</v>
      </c>
      <c r="H324" s="8" t="s">
        <v>29</v>
      </c>
      <c r="I324" s="8" t="s">
        <v>54</v>
      </c>
      <c r="L324" s="8" t="s">
        <v>31</v>
      </c>
      <c r="M324" s="8" t="s">
        <v>34</v>
      </c>
      <c r="P324" s="9">
        <v>44132.0</v>
      </c>
      <c r="Q324" s="10">
        <v>0.125</v>
      </c>
      <c r="R324" s="11" t="str">
        <f t="shared" si="1"/>
        <v>Проверка программы установщиков</v>
      </c>
      <c r="S324" s="16" t="str">
        <f>iferror(VLOOKUP(C324,'ФИО'!A:B,2,0),"учётный код не найден")</f>
        <v>Шилоносов Максим Евгеньевич</v>
      </c>
      <c r="T324" s="11" t="str">
        <f t="shared" si="2"/>
        <v>915-00121.A - Процессорный модуль РСЕН.469555.027 (КНС Групп)</v>
      </c>
      <c r="U324" s="8">
        <v>0.0</v>
      </c>
      <c r="V324" s="8">
        <v>0.0</v>
      </c>
      <c r="W324" s="17" t="str">
        <f t="shared" si="38"/>
        <v>Данные не заполены</v>
      </c>
      <c r="X324" s="14" t="str">
        <f t="shared" si="31"/>
        <v>Данные не заполены</v>
      </c>
      <c r="Y324" s="15">
        <f t="shared" si="32"/>
        <v>0</v>
      </c>
    </row>
    <row r="325" hidden="1">
      <c r="A325" s="7">
        <v>44126.31714576389</v>
      </c>
      <c r="B325" s="8" t="s">
        <v>94</v>
      </c>
      <c r="C325" s="8">
        <v>20985.0</v>
      </c>
      <c r="D325" s="8" t="s">
        <v>69</v>
      </c>
      <c r="F325" s="8" t="s">
        <v>116</v>
      </c>
      <c r="G325" s="8">
        <v>3253.0</v>
      </c>
      <c r="H325" s="8" t="s">
        <v>29</v>
      </c>
      <c r="I325" s="8" t="s">
        <v>95</v>
      </c>
      <c r="L325" s="8" t="s">
        <v>31</v>
      </c>
      <c r="M325" s="8" t="s">
        <v>34</v>
      </c>
      <c r="P325" s="9">
        <v>44125.0</v>
      </c>
      <c r="Q325" s="10">
        <v>0.020833333335758653</v>
      </c>
      <c r="R325" s="11" t="str">
        <f t="shared" si="1"/>
        <v>Написание программы для SEHO SEC</v>
      </c>
      <c r="S325" s="16" t="str">
        <f>iferror(VLOOKUP(C325,'ФИО'!A:B,2,0),"учётный код не найден")</f>
        <v>Никонорова Наталия Владимировна</v>
      </c>
      <c r="T325" s="13" t="str">
        <f t="shared" si="2"/>
        <v>915-00095.A - ПКД-8В-1 АСЛБ.467249.108 (Квант)</v>
      </c>
      <c r="U325" s="8">
        <v>0.0</v>
      </c>
      <c r="V325" s="8">
        <v>0.0</v>
      </c>
      <c r="W325" s="17" t="str">
        <f t="shared" si="38"/>
        <v>Данные не заполены</v>
      </c>
      <c r="X325" s="14" t="str">
        <f t="shared" si="31"/>
        <v>Данные не заполены</v>
      </c>
      <c r="Y325" s="15">
        <f t="shared" si="32"/>
        <v>0</v>
      </c>
    </row>
    <row r="326" hidden="1">
      <c r="A326" s="7">
        <v>44127.202144282404</v>
      </c>
      <c r="B326" s="8" t="s">
        <v>94</v>
      </c>
      <c r="C326" s="8">
        <v>20985.0</v>
      </c>
      <c r="D326" s="8" t="s">
        <v>69</v>
      </c>
      <c r="F326" s="8" t="s">
        <v>116</v>
      </c>
      <c r="G326" s="8">
        <v>3252.0</v>
      </c>
      <c r="H326" s="8" t="s">
        <v>29</v>
      </c>
      <c r="I326" s="8" t="s">
        <v>96</v>
      </c>
      <c r="L326" s="8" t="s">
        <v>31</v>
      </c>
      <c r="M326" s="8" t="s">
        <v>34</v>
      </c>
      <c r="P326" s="9">
        <v>44126.0</v>
      </c>
      <c r="Q326" s="10">
        <v>0.020833333335758653</v>
      </c>
      <c r="R326" s="11" t="str">
        <f t="shared" si="1"/>
        <v>Написание программы для SEHO SEC</v>
      </c>
      <c r="S326" s="16" t="str">
        <f>iferror(VLOOKUP(C326,'ФИО'!A:B,2,0),"учётный код не найден")</f>
        <v>Никонорова Наталия Владимировна</v>
      </c>
      <c r="T326" s="13" t="str">
        <f t="shared" si="2"/>
        <v>915-00096.A - ПКД-8В-2 АСЛБ.467249.109</v>
      </c>
      <c r="U326" s="8">
        <v>0.0</v>
      </c>
      <c r="V326" s="8">
        <v>0.0</v>
      </c>
      <c r="W326" s="17" t="str">
        <f t="shared" si="38"/>
        <v>Данные не заполены</v>
      </c>
      <c r="X326" s="14" t="str">
        <f t="shared" si="31"/>
        <v>Данные не заполены</v>
      </c>
      <c r="Y326" s="15">
        <f t="shared" si="32"/>
        <v>0</v>
      </c>
    </row>
    <row r="327" hidden="1">
      <c r="A327" s="7">
        <v>44127.56608621527</v>
      </c>
      <c r="B327" s="8" t="s">
        <v>89</v>
      </c>
      <c r="C327" s="8">
        <v>20015.0</v>
      </c>
      <c r="D327" s="8" t="s">
        <v>27</v>
      </c>
      <c r="E327" s="8" t="s">
        <v>39</v>
      </c>
      <c r="G327" s="8">
        <v>3621.0</v>
      </c>
      <c r="H327" s="8" t="s">
        <v>29</v>
      </c>
      <c r="I327" s="8" t="s">
        <v>54</v>
      </c>
      <c r="L327" s="8" t="s">
        <v>31</v>
      </c>
      <c r="M327" s="8" t="s">
        <v>34</v>
      </c>
      <c r="P327" s="9">
        <v>44127.0</v>
      </c>
      <c r="Q327" s="10">
        <v>0.04166666666424135</v>
      </c>
      <c r="R327" s="11" t="str">
        <f t="shared" si="1"/>
        <v>Зарядка питателей Prim</v>
      </c>
      <c r="S327" s="16" t="str">
        <f>iferror(VLOOKUP(C327,'ФИО'!A:B,2,0),"учётный код не найден")</f>
        <v>Ельцов Андрей Николаевич</v>
      </c>
      <c r="T327" s="13" t="str">
        <f t="shared" si="2"/>
        <v>915-00121.A - Процессорный модуль РСЕН.469555.027 (КНС Групп)</v>
      </c>
      <c r="U327" s="8">
        <v>20.0</v>
      </c>
      <c r="V327" s="8">
        <v>0.0</v>
      </c>
      <c r="W327" s="17">
        <v>660.0</v>
      </c>
      <c r="X327" s="14">
        <f t="shared" si="31"/>
        <v>0.3333333334</v>
      </c>
      <c r="Y327" s="15">
        <f t="shared" si="32"/>
        <v>0</v>
      </c>
      <c r="Z327" s="8" t="s">
        <v>162</v>
      </c>
    </row>
    <row r="328" hidden="1">
      <c r="A328" s="7">
        <v>44106.797922199075</v>
      </c>
      <c r="B328" s="8" t="s">
        <v>87</v>
      </c>
      <c r="C328" s="8">
        <v>21544.0</v>
      </c>
      <c r="D328" s="8" t="s">
        <v>27</v>
      </c>
      <c r="E328" s="8" t="s">
        <v>122</v>
      </c>
      <c r="G328" s="8">
        <v>3233.0</v>
      </c>
      <c r="H328" s="8" t="s">
        <v>29</v>
      </c>
      <c r="I328" s="8" t="s">
        <v>60</v>
      </c>
      <c r="L328" s="8" t="s">
        <v>31</v>
      </c>
      <c r="M328" s="8" t="s">
        <v>34</v>
      </c>
      <c r="N328" s="8"/>
      <c r="O328" s="8"/>
      <c r="P328" s="9">
        <v>44106.0</v>
      </c>
      <c r="Q328" s="10">
        <v>0.08333333333575865</v>
      </c>
      <c r="R328" s="13" t="str">
        <f t="shared" si="1"/>
        <v>Настойка первой платы на АОИ</v>
      </c>
      <c r="S328" s="16" t="str">
        <f>iferror(VLOOKUP(C328,'ФИО'!A:B,2,0),"учётный код не найден")</f>
        <v>Анфалов Сергей Андреевич</v>
      </c>
      <c r="T328" s="13" t="str">
        <f t="shared" si="2"/>
        <v>915-00102.A - ПБОК-2В АСЛБ.465285.013 (Квант)</v>
      </c>
      <c r="U328" s="8">
        <v>0.0</v>
      </c>
      <c r="V328" s="8">
        <v>0.0</v>
      </c>
      <c r="W328" s="21" t="str">
        <f t="shared" ref="W328:W329" si="39">IFERROR((((38412/(ifs(O328&lt;35,35,O328&gt;34,O328)/N328)*0.7))),"Данные не заполены")</f>
        <v>Данные не заполены</v>
      </c>
      <c r="X328" s="15" t="str">
        <f t="shared" si="31"/>
        <v>Данные не заполены</v>
      </c>
      <c r="Y328" s="15">
        <f t="shared" si="32"/>
        <v>0</v>
      </c>
    </row>
    <row r="329" hidden="1">
      <c r="A329" s="7">
        <v>44130.82520092593</v>
      </c>
      <c r="B329" s="8" t="s">
        <v>87</v>
      </c>
      <c r="C329" s="8">
        <v>21928.0</v>
      </c>
      <c r="D329" s="8" t="s">
        <v>27</v>
      </c>
      <c r="E329" s="8" t="s">
        <v>123</v>
      </c>
      <c r="G329" s="8">
        <v>3793.0</v>
      </c>
      <c r="H329" s="8" t="s">
        <v>29</v>
      </c>
      <c r="I329" s="8" t="s">
        <v>163</v>
      </c>
      <c r="L329" s="8" t="s">
        <v>37</v>
      </c>
      <c r="P329" s="9">
        <v>44130.0</v>
      </c>
      <c r="Q329" s="10">
        <v>0.013888888890505768</v>
      </c>
      <c r="R329" s="11" t="str">
        <f t="shared" si="1"/>
        <v>Настойка первой платы на АОИ PRI</v>
      </c>
      <c r="S329" s="12" t="str">
        <f>iferror(VLOOKUP(C329,'ФИО'!A:B,2,0),"учётный код не найден")</f>
        <v>Савченко Виктория Андреевна</v>
      </c>
      <c r="T329" s="13" t="str">
        <f t="shared" si="2"/>
        <v>915-00068.A - uklsip(s)220_v3.01 (Гефест)</v>
      </c>
      <c r="U329" s="8">
        <v>0.0</v>
      </c>
      <c r="V329" s="8">
        <v>0.0</v>
      </c>
      <c r="W329" s="17" t="str">
        <f t="shared" si="39"/>
        <v>Данные не заполены</v>
      </c>
      <c r="X329" s="14" t="str">
        <f t="shared" si="31"/>
        <v>Данные не заполены</v>
      </c>
      <c r="Y329" s="15">
        <f t="shared" si="32"/>
        <v>0</v>
      </c>
    </row>
    <row r="330" hidden="1">
      <c r="A330" s="7">
        <v>44122.83249042824</v>
      </c>
      <c r="B330" s="8" t="s">
        <v>87</v>
      </c>
      <c r="C330" s="8">
        <v>22087.0</v>
      </c>
      <c r="D330" s="8" t="s">
        <v>27</v>
      </c>
      <c r="E330" s="8" t="s">
        <v>125</v>
      </c>
      <c r="G330" s="8">
        <v>3754.0</v>
      </c>
      <c r="H330" s="8" t="s">
        <v>45</v>
      </c>
      <c r="K330" s="8" t="s">
        <v>124</v>
      </c>
      <c r="L330" s="8" t="s">
        <v>31</v>
      </c>
      <c r="M330" s="8" t="s">
        <v>34</v>
      </c>
      <c r="P330" s="9">
        <v>44122.0</v>
      </c>
      <c r="Q330" s="10">
        <v>0.10416666666424135</v>
      </c>
      <c r="R330" s="11" t="str">
        <f t="shared" si="1"/>
        <v>Настойка первой платы на АОИ SEC</v>
      </c>
      <c r="S330" s="16" t="str">
        <f>iferror(VLOOKUP(C330,'ФИО'!A:B,2,0),"учётный код не найден")</f>
        <v>Хохряков Илья Александрович</v>
      </c>
      <c r="T330" s="13" t="str">
        <f t="shared" si="2"/>
        <v>ПУ 910-00120.D - Печатный узел модуля 2CAN+LIN</v>
      </c>
      <c r="U330" s="8">
        <v>0.0</v>
      </c>
      <c r="V330" s="8">
        <v>0.0</v>
      </c>
      <c r="X330" s="14" t="str">
        <f t="shared" si="31"/>
        <v>Данные не заполены</v>
      </c>
      <c r="Y330" s="15">
        <f t="shared" si="32"/>
        <v>0</v>
      </c>
    </row>
    <row r="331" hidden="1">
      <c r="A331" s="7">
        <v>44135.825025115744</v>
      </c>
      <c r="B331" s="8" t="s">
        <v>89</v>
      </c>
      <c r="C331" s="8">
        <v>20015.0</v>
      </c>
      <c r="D331" s="8" t="s">
        <v>27</v>
      </c>
      <c r="E331" s="8" t="s">
        <v>39</v>
      </c>
      <c r="G331" s="8">
        <v>3778.0</v>
      </c>
      <c r="H331" s="8" t="s">
        <v>45</v>
      </c>
      <c r="K331" s="8" t="s">
        <v>46</v>
      </c>
      <c r="L331" s="8" t="s">
        <v>31</v>
      </c>
      <c r="M331" s="8" t="s">
        <v>34</v>
      </c>
      <c r="P331" s="9">
        <v>44135.0</v>
      </c>
      <c r="Q331" s="10">
        <v>0.04166666666424135</v>
      </c>
      <c r="R331" s="11" t="str">
        <f t="shared" si="1"/>
        <v>Зарядка питателей Prim</v>
      </c>
      <c r="S331" s="16" t="str">
        <f>iferror(VLOOKUP(C331,'ФИО'!A:B,2,0),"учётный код не найден")</f>
        <v>Ельцов Андрей Николаевич</v>
      </c>
      <c r="T331" s="13" t="str">
        <f t="shared" si="2"/>
        <v>ПУ 910-00349.A "Печатный узел основного блока E96 4LIN"</v>
      </c>
      <c r="U331" s="8">
        <v>38.0</v>
      </c>
      <c r="V331" s="8">
        <v>0.0</v>
      </c>
      <c r="W331" s="17">
        <v>660.0</v>
      </c>
      <c r="X331" s="14">
        <f t="shared" si="31"/>
        <v>0.6333333334</v>
      </c>
      <c r="Y331" s="15">
        <f t="shared" si="32"/>
        <v>0</v>
      </c>
    </row>
    <row r="332" hidden="1">
      <c r="A332" s="7">
        <v>44111.81238509259</v>
      </c>
      <c r="B332" s="8" t="s">
        <v>89</v>
      </c>
      <c r="C332" s="8">
        <v>20015.0</v>
      </c>
      <c r="D332" s="8" t="s">
        <v>69</v>
      </c>
      <c r="F332" s="8" t="s">
        <v>164</v>
      </c>
      <c r="G332" s="8">
        <v>3233.0</v>
      </c>
      <c r="H332" s="8" t="s">
        <v>29</v>
      </c>
      <c r="I332" s="8" t="s">
        <v>60</v>
      </c>
      <c r="L332" s="8" t="s">
        <v>31</v>
      </c>
      <c r="M332" s="8" t="s">
        <v>34</v>
      </c>
      <c r="N332" s="8"/>
      <c r="O332" s="8"/>
      <c r="P332" s="9">
        <v>44111.0</v>
      </c>
      <c r="Q332" s="10">
        <v>0.08333333333575865</v>
      </c>
      <c r="R332" s="11" t="str">
        <f t="shared" si="1"/>
        <v>Написание программы для АОИ PRI</v>
      </c>
      <c r="S332" s="16" t="str">
        <f>iferror(VLOOKUP(C332,'ФИО'!A:B,2,0),"учётный код не найден")</f>
        <v>Ельцов Андрей Николаевич</v>
      </c>
      <c r="T332" s="13" t="str">
        <f t="shared" si="2"/>
        <v>915-00102.A - ПБОК-2В АСЛБ.465285.013 (Квант)</v>
      </c>
      <c r="U332" s="8">
        <v>0.0</v>
      </c>
      <c r="V332" s="8">
        <v>0.0</v>
      </c>
      <c r="W332" s="21" t="str">
        <f t="shared" ref="W332:W343" si="40">IFERROR((((38412/(ifs(O332&lt;35,35,O332&gt;34,O332)/N332)*0.7))),"Данные не заполены")</f>
        <v>Данные не заполены</v>
      </c>
      <c r="X332" s="15" t="str">
        <f t="shared" si="31"/>
        <v>Данные не заполены</v>
      </c>
      <c r="Y332" s="15">
        <f t="shared" si="32"/>
        <v>0</v>
      </c>
    </row>
    <row r="333" hidden="1">
      <c r="A333" s="7">
        <v>44110.32558696759</v>
      </c>
      <c r="B333" s="8" t="s">
        <v>94</v>
      </c>
      <c r="C333" s="8">
        <v>21426.0</v>
      </c>
      <c r="D333" s="8" t="s">
        <v>27</v>
      </c>
      <c r="E333" s="8" t="s">
        <v>57</v>
      </c>
      <c r="G333" s="8">
        <v>3234.0</v>
      </c>
      <c r="H333" s="8" t="s">
        <v>29</v>
      </c>
      <c r="I333" s="8" t="s">
        <v>135</v>
      </c>
      <c r="L333" s="8" t="s">
        <v>31</v>
      </c>
      <c r="M333" s="8" t="s">
        <v>34</v>
      </c>
      <c r="N333" s="8"/>
      <c r="O333" s="8"/>
      <c r="P333" s="9">
        <v>44109.0</v>
      </c>
      <c r="Q333" s="10">
        <v>0.04166666666424135</v>
      </c>
      <c r="R333" s="11" t="str">
        <f t="shared" si="1"/>
        <v>Настройка линии Primary</v>
      </c>
      <c r="S333" s="16" t="str">
        <f>iferror(VLOOKUP(C333,'ФИО'!A:B,2,0),"учётный код не найден")</f>
        <v>Скибинский Антон Германович</v>
      </c>
      <c r="T333" s="13" t="str">
        <f t="shared" si="2"/>
        <v>915-00101.A - ПКД-9В АСЛБ.467249.107 (Квант)</v>
      </c>
      <c r="U333" s="8">
        <v>0.0</v>
      </c>
      <c r="V333" s="8">
        <v>0.0</v>
      </c>
      <c r="W333" s="21" t="str">
        <f t="shared" si="40"/>
        <v>Данные не заполены</v>
      </c>
      <c r="X333" s="15" t="str">
        <f t="shared" si="31"/>
        <v>Данные не заполены</v>
      </c>
      <c r="Y333" s="15">
        <f t="shared" si="32"/>
        <v>0</v>
      </c>
    </row>
    <row r="334" hidden="1">
      <c r="A334" s="7">
        <v>44110.82078130787</v>
      </c>
      <c r="B334" s="8" t="s">
        <v>89</v>
      </c>
      <c r="C334" s="8">
        <v>21954.0</v>
      </c>
      <c r="D334" s="8" t="s">
        <v>27</v>
      </c>
      <c r="E334" s="8" t="s">
        <v>57</v>
      </c>
      <c r="G334" s="8">
        <v>3234.0</v>
      </c>
      <c r="H334" s="8" t="s">
        <v>29</v>
      </c>
      <c r="I334" s="8" t="s">
        <v>60</v>
      </c>
      <c r="L334" s="8" t="s">
        <v>31</v>
      </c>
      <c r="M334" s="8" t="s">
        <v>34</v>
      </c>
      <c r="N334" s="8"/>
      <c r="O334" s="8"/>
      <c r="P334" s="9">
        <v>44110.0</v>
      </c>
      <c r="Q334" s="10">
        <v>0.04166666666424135</v>
      </c>
      <c r="R334" s="11" t="str">
        <f t="shared" si="1"/>
        <v>Настройка линии Primary</v>
      </c>
      <c r="S334" s="16" t="str">
        <f>iferror(VLOOKUP(C334,'ФИО'!A:B,2,0),"учётный код не найден")</f>
        <v>Александров Александр Викторович</v>
      </c>
      <c r="T334" s="13" t="str">
        <f t="shared" si="2"/>
        <v>915-00102.A - ПБОК-2В АСЛБ.465285.013 (Квант)</v>
      </c>
      <c r="U334" s="8">
        <v>0.0</v>
      </c>
      <c r="V334" s="8">
        <v>0.0</v>
      </c>
      <c r="W334" s="21" t="str">
        <f t="shared" si="40"/>
        <v>Данные не заполены</v>
      </c>
      <c r="X334" s="15" t="str">
        <f t="shared" si="31"/>
        <v>Данные не заполены</v>
      </c>
      <c r="Y334" s="15">
        <f t="shared" si="32"/>
        <v>0</v>
      </c>
    </row>
    <row r="335" hidden="1">
      <c r="A335" s="7">
        <v>44111.3347487037</v>
      </c>
      <c r="B335" s="8" t="s">
        <v>94</v>
      </c>
      <c r="C335" s="8">
        <v>21426.0</v>
      </c>
      <c r="D335" s="8" t="s">
        <v>27</v>
      </c>
      <c r="E335" s="8" t="s">
        <v>57</v>
      </c>
      <c r="G335" s="8">
        <v>3580.0</v>
      </c>
      <c r="H335" s="8" t="s">
        <v>29</v>
      </c>
      <c r="I335" s="8" t="s">
        <v>145</v>
      </c>
      <c r="L335" s="8" t="s">
        <v>31</v>
      </c>
      <c r="M335" s="8" t="s">
        <v>34</v>
      </c>
      <c r="N335" s="8"/>
      <c r="O335" s="8"/>
      <c r="P335" s="9">
        <v>44110.0</v>
      </c>
      <c r="Q335" s="10">
        <v>0.024305555554747116</v>
      </c>
      <c r="R335" s="11" t="str">
        <f t="shared" si="1"/>
        <v>Настройка линии Primary</v>
      </c>
      <c r="S335" s="16" t="str">
        <f>iferror(VLOOKUP(C335,'ФИО'!A:B,2,0),"учётный код не найден")</f>
        <v>Скибинский Антон Германович</v>
      </c>
      <c r="T335" s="13" t="str">
        <f t="shared" si="2"/>
        <v>XR (OÜ KLARBERG)</v>
      </c>
      <c r="U335" s="8">
        <v>0.0</v>
      </c>
      <c r="V335" s="8">
        <v>0.0</v>
      </c>
      <c r="W335" s="21" t="str">
        <f t="shared" si="40"/>
        <v>Данные не заполены</v>
      </c>
      <c r="X335" s="15" t="str">
        <f t="shared" si="31"/>
        <v>Данные не заполены</v>
      </c>
      <c r="Y335" s="15">
        <f t="shared" si="32"/>
        <v>0</v>
      </c>
    </row>
    <row r="336" hidden="1">
      <c r="A336" s="7">
        <v>44110.712861458334</v>
      </c>
      <c r="B336" s="8" t="s">
        <v>89</v>
      </c>
      <c r="C336" s="8">
        <v>50000.0</v>
      </c>
      <c r="D336" s="8" t="s">
        <v>27</v>
      </c>
      <c r="E336" s="8" t="s">
        <v>88</v>
      </c>
      <c r="G336" s="8">
        <v>3726.0</v>
      </c>
      <c r="H336" s="8" t="s">
        <v>45</v>
      </c>
      <c r="K336" s="8" t="s">
        <v>58</v>
      </c>
      <c r="L336" s="8" t="s">
        <v>37</v>
      </c>
      <c r="P336" s="9">
        <v>44110.0</v>
      </c>
      <c r="Q336" s="10">
        <v>0.041666666666666664</v>
      </c>
      <c r="R336" s="11" t="str">
        <f t="shared" si="1"/>
        <v>Сборка на линии Sec</v>
      </c>
      <c r="S336" s="16" t="str">
        <f>iferror(VLOOKUP(C336,'ФИО'!A:B,2,0),"учётный код не найден")</f>
        <v>SMT</v>
      </c>
      <c r="T336" s="13" t="str">
        <f t="shared" si="2"/>
        <v>ПУ метки i95</v>
      </c>
      <c r="U336" s="8">
        <v>1896.0</v>
      </c>
      <c r="V336" s="8">
        <v>0.0</v>
      </c>
      <c r="W336" s="21" t="str">
        <f t="shared" si="40"/>
        <v>Данные не заполены</v>
      </c>
      <c r="X336" s="15" t="str">
        <f t="shared" si="31"/>
        <v>Данные не заполены</v>
      </c>
      <c r="Y336" s="15">
        <f t="shared" si="32"/>
        <v>0</v>
      </c>
    </row>
    <row r="337" hidden="1">
      <c r="A337" s="7">
        <v>44110.82874732639</v>
      </c>
      <c r="B337" s="8" t="s">
        <v>89</v>
      </c>
      <c r="C337" s="8">
        <v>50000.0</v>
      </c>
      <c r="D337" s="8" t="s">
        <v>27</v>
      </c>
      <c r="E337" s="8" t="s">
        <v>67</v>
      </c>
      <c r="G337" s="8">
        <v>3234.0</v>
      </c>
      <c r="H337" s="8" t="s">
        <v>29</v>
      </c>
      <c r="I337" s="8" t="s">
        <v>135</v>
      </c>
      <c r="L337" s="8" t="s">
        <v>37</v>
      </c>
      <c r="P337" s="9">
        <v>44110.0</v>
      </c>
      <c r="Q337" s="10">
        <v>0.020833333335758653</v>
      </c>
      <c r="R337" s="11" t="str">
        <f t="shared" si="1"/>
        <v>Сборка на линии Prim</v>
      </c>
      <c r="S337" s="16" t="str">
        <f>iferror(VLOOKUP(C337,'ФИО'!A:B,2,0),"учётный код не найден")</f>
        <v>SMT</v>
      </c>
      <c r="T337" s="13" t="str">
        <f t="shared" si="2"/>
        <v>915-00101.A - ПКД-9В АСЛБ.467249.107 (Квант)</v>
      </c>
      <c r="U337" s="8">
        <v>4.0</v>
      </c>
      <c r="V337" s="8">
        <v>0.0</v>
      </c>
      <c r="W337" s="21" t="str">
        <f t="shared" si="40"/>
        <v>Данные не заполены</v>
      </c>
      <c r="X337" s="15" t="str">
        <f t="shared" si="31"/>
        <v>Данные не заполены</v>
      </c>
      <c r="Y337" s="15">
        <f t="shared" si="32"/>
        <v>0</v>
      </c>
    </row>
    <row r="338" hidden="1">
      <c r="A338" s="7">
        <v>44113.33450521991</v>
      </c>
      <c r="B338" s="8" t="s">
        <v>126</v>
      </c>
      <c r="C338" s="8">
        <v>21927.0</v>
      </c>
      <c r="D338" s="8" t="s">
        <v>27</v>
      </c>
      <c r="E338" s="8" t="s">
        <v>39</v>
      </c>
      <c r="G338" s="8">
        <v>3750.0</v>
      </c>
      <c r="H338" s="8" t="s">
        <v>9</v>
      </c>
      <c r="J338" s="8" t="s">
        <v>46</v>
      </c>
      <c r="L338" s="8" t="s">
        <v>31</v>
      </c>
      <c r="M338" s="8" t="s">
        <v>34</v>
      </c>
      <c r="N338" s="8"/>
      <c r="O338" s="8"/>
      <c r="P338" s="9">
        <v>44112.0</v>
      </c>
      <c r="Q338" s="10">
        <v>0.04166666666424135</v>
      </c>
      <c r="R338" s="11" t="str">
        <f t="shared" si="1"/>
        <v>Зарядка питателей Prim</v>
      </c>
      <c r="S338" s="16" t="str">
        <f>iferror(VLOOKUP(C338,'ФИО'!A:B,2,0),"учётный код не найден")</f>
        <v>Шергин Родион Олегович</v>
      </c>
      <c r="T338" s="13" t="str">
        <f t="shared" si="2"/>
        <v>ПУ 910-00349.A "Печатный узел основного блока E96 4LIN"</v>
      </c>
      <c r="U338" s="8">
        <v>55.0</v>
      </c>
      <c r="V338" s="8">
        <v>0.0</v>
      </c>
      <c r="W338" s="21" t="str">
        <f t="shared" si="40"/>
        <v>Данные не заполены</v>
      </c>
      <c r="X338" s="15" t="str">
        <f t="shared" si="31"/>
        <v>Данные не заполены</v>
      </c>
      <c r="Y338" s="15">
        <f t="shared" si="32"/>
        <v>0</v>
      </c>
    </row>
    <row r="339" hidden="1">
      <c r="A339" s="7">
        <v>44110.33264486111</v>
      </c>
      <c r="B339" s="8" t="s">
        <v>94</v>
      </c>
      <c r="C339" s="8">
        <v>22575.0</v>
      </c>
      <c r="D339" s="8" t="s">
        <v>27</v>
      </c>
      <c r="E339" s="8" t="s">
        <v>55</v>
      </c>
      <c r="G339" s="8">
        <v>3726.0</v>
      </c>
      <c r="H339" s="8" t="s">
        <v>45</v>
      </c>
      <c r="K339" s="8" t="s">
        <v>58</v>
      </c>
      <c r="L339" s="8" t="s">
        <v>31</v>
      </c>
      <c r="M339" s="8" t="s">
        <v>34</v>
      </c>
      <c r="N339" s="8"/>
      <c r="O339" s="8"/>
      <c r="P339" s="9">
        <v>44109.0</v>
      </c>
      <c r="Q339" s="10">
        <v>0.0034722222189884633</v>
      </c>
      <c r="R339" s="11" t="str">
        <f t="shared" si="1"/>
        <v>Маркировка плат</v>
      </c>
      <c r="S339" s="16" t="str">
        <f>iferror(VLOOKUP(C339,'ФИО'!A:B,2,0),"учётный код не найден")</f>
        <v>Куликов Виктор Алексеевич</v>
      </c>
      <c r="T339" s="13" t="str">
        <f t="shared" si="2"/>
        <v>ПУ метки i95</v>
      </c>
      <c r="U339" s="8">
        <v>0.0</v>
      </c>
      <c r="V339" s="8">
        <v>0.0</v>
      </c>
      <c r="W339" s="21" t="str">
        <f t="shared" si="40"/>
        <v>Данные не заполены</v>
      </c>
      <c r="X339" s="15" t="str">
        <f t="shared" si="31"/>
        <v>Данные не заполены</v>
      </c>
      <c r="Y339" s="15">
        <f t="shared" si="32"/>
        <v>0</v>
      </c>
    </row>
    <row r="340" hidden="1">
      <c r="A340" s="7">
        <v>44111.27037759259</v>
      </c>
      <c r="B340" s="8" t="s">
        <v>94</v>
      </c>
      <c r="C340" s="8">
        <v>50000.0</v>
      </c>
      <c r="D340" s="8" t="s">
        <v>27</v>
      </c>
      <c r="E340" s="8" t="s">
        <v>67</v>
      </c>
      <c r="G340" s="8">
        <v>3234.0</v>
      </c>
      <c r="H340" s="8" t="s">
        <v>29</v>
      </c>
      <c r="I340" s="8" t="s">
        <v>135</v>
      </c>
      <c r="L340" s="8" t="s">
        <v>31</v>
      </c>
      <c r="M340" s="8" t="s">
        <v>149</v>
      </c>
      <c r="N340" s="8"/>
      <c r="O340" s="8"/>
      <c r="P340" s="9">
        <v>44110.0</v>
      </c>
      <c r="Q340" s="10">
        <v>0.14583333333575865</v>
      </c>
      <c r="R340" s="11" t="str">
        <f t="shared" si="1"/>
        <v>Сборка на линии Prim</v>
      </c>
      <c r="S340" s="16" t="str">
        <f>iferror(VLOOKUP(C340,'ФИО'!A:B,2,0),"учётный код не найден")</f>
        <v>SMT</v>
      </c>
      <c r="T340" s="13" t="str">
        <f t="shared" si="2"/>
        <v>915-00101.A - ПКД-9В АСЛБ.467249.107 (Квант)</v>
      </c>
      <c r="U340" s="8">
        <v>65.0</v>
      </c>
      <c r="V340" s="8">
        <v>0.0</v>
      </c>
      <c r="W340" s="21" t="str">
        <f t="shared" si="40"/>
        <v>Данные не заполены</v>
      </c>
      <c r="X340" s="15" t="str">
        <f t="shared" si="31"/>
        <v>Данные не заполены</v>
      </c>
      <c r="Y340" s="15">
        <f t="shared" si="32"/>
        <v>0</v>
      </c>
      <c r="Z340" s="8" t="s">
        <v>149</v>
      </c>
    </row>
    <row r="341" hidden="1">
      <c r="A341" s="7">
        <v>44126.32263981481</v>
      </c>
      <c r="B341" s="8" t="s">
        <v>94</v>
      </c>
      <c r="C341" s="8">
        <v>21928.0</v>
      </c>
      <c r="D341" s="8" t="s">
        <v>27</v>
      </c>
      <c r="E341" s="8" t="s">
        <v>57</v>
      </c>
      <c r="G341" s="8">
        <v>3252.0</v>
      </c>
      <c r="H341" s="8" t="s">
        <v>29</v>
      </c>
      <c r="I341" s="8" t="s">
        <v>96</v>
      </c>
      <c r="L341" s="8" t="s">
        <v>31</v>
      </c>
      <c r="M341" s="8" t="s">
        <v>34</v>
      </c>
      <c r="P341" s="9">
        <v>44125.0</v>
      </c>
      <c r="Q341" s="10">
        <v>0.04166666666424135</v>
      </c>
      <c r="R341" s="11" t="str">
        <f t="shared" si="1"/>
        <v>Настройка линии Primary</v>
      </c>
      <c r="S341" s="16" t="str">
        <f>iferror(VLOOKUP(C341,'ФИО'!A:B,2,0),"учётный код не найден")</f>
        <v>Савченко Виктория Андреевна</v>
      </c>
      <c r="T341" s="13" t="str">
        <f t="shared" si="2"/>
        <v>915-00096.A - ПКД-8В-2 АСЛБ.467249.109</v>
      </c>
      <c r="U341" s="8">
        <v>0.0</v>
      </c>
      <c r="V341" s="8">
        <v>0.0</v>
      </c>
      <c r="W341" s="17" t="str">
        <f t="shared" si="40"/>
        <v>Данные не заполены</v>
      </c>
      <c r="X341" s="14" t="str">
        <f t="shared" si="31"/>
        <v>Данные не заполены</v>
      </c>
      <c r="Y341" s="15">
        <f t="shared" si="32"/>
        <v>0</v>
      </c>
    </row>
    <row r="342" hidden="1">
      <c r="A342" s="7">
        <v>44126.318379432865</v>
      </c>
      <c r="B342" s="8" t="s">
        <v>94</v>
      </c>
      <c r="C342" s="8">
        <v>21426.0</v>
      </c>
      <c r="D342" s="8" t="s">
        <v>27</v>
      </c>
      <c r="E342" s="8" t="s">
        <v>57</v>
      </c>
      <c r="G342" s="8">
        <v>3252.0</v>
      </c>
      <c r="H342" s="8" t="s">
        <v>29</v>
      </c>
      <c r="I342" s="8" t="s">
        <v>96</v>
      </c>
      <c r="L342" s="8" t="s">
        <v>31</v>
      </c>
      <c r="M342" s="8" t="s">
        <v>34</v>
      </c>
      <c r="P342" s="9">
        <v>44125.0</v>
      </c>
      <c r="Q342" s="10">
        <v>0.020833333335758653</v>
      </c>
      <c r="R342" s="11" t="str">
        <f t="shared" si="1"/>
        <v>Настройка линии Primary</v>
      </c>
      <c r="S342" s="16" t="str">
        <f>iferror(VLOOKUP(C342,'ФИО'!A:B,2,0),"учётный код не найден")</f>
        <v>Скибинский Антон Германович</v>
      </c>
      <c r="T342" s="13" t="str">
        <f t="shared" si="2"/>
        <v>915-00096.A - ПКД-8В-2 АСЛБ.467249.109</v>
      </c>
      <c r="U342" s="8">
        <v>0.0</v>
      </c>
      <c r="V342" s="8">
        <v>0.0</v>
      </c>
      <c r="W342" s="17" t="str">
        <f t="shared" si="40"/>
        <v>Данные не заполены</v>
      </c>
      <c r="X342" s="14" t="str">
        <f t="shared" si="31"/>
        <v>Данные не заполены</v>
      </c>
      <c r="Y342" s="15">
        <f t="shared" si="32"/>
        <v>0</v>
      </c>
    </row>
    <row r="343" hidden="1">
      <c r="A343" s="7">
        <v>44126.32315001157</v>
      </c>
      <c r="B343" s="8" t="s">
        <v>94</v>
      </c>
      <c r="C343" s="8">
        <v>21426.0</v>
      </c>
      <c r="D343" s="8" t="s">
        <v>27</v>
      </c>
      <c r="E343" s="8" t="s">
        <v>57</v>
      </c>
      <c r="G343" s="8">
        <v>3804.0</v>
      </c>
      <c r="H343" s="8" t="s">
        <v>45</v>
      </c>
      <c r="K343" s="8" t="s">
        <v>52</v>
      </c>
      <c r="L343" s="8" t="s">
        <v>31</v>
      </c>
      <c r="M343" s="8" t="s">
        <v>34</v>
      </c>
      <c r="P343" s="9">
        <v>44125.0</v>
      </c>
      <c r="Q343" s="10">
        <v>0.020833333335758653</v>
      </c>
      <c r="R343" s="11" t="str">
        <f t="shared" si="1"/>
        <v>Настройка линии Primary</v>
      </c>
      <c r="S343" s="16" t="str">
        <f>iferror(VLOOKUP(C343,'ФИО'!A:B,2,0),"учётный код не найден")</f>
        <v>Скибинский Антон Германович</v>
      </c>
      <c r="T343" s="13" t="str">
        <f t="shared" si="2"/>
        <v>М17V2 (900-00018.D)_910-00023.H и ПУ 910-00012.I</v>
      </c>
      <c r="U343" s="8">
        <v>0.0</v>
      </c>
      <c r="V343" s="8">
        <v>0.0</v>
      </c>
      <c r="W343" s="17" t="str">
        <f t="shared" si="40"/>
        <v>Данные не заполены</v>
      </c>
      <c r="X343" s="14" t="str">
        <f t="shared" si="31"/>
        <v>Данные не заполены</v>
      </c>
      <c r="Y343" s="15">
        <f t="shared" si="32"/>
        <v>0</v>
      </c>
    </row>
    <row r="344" hidden="1">
      <c r="A344" s="7">
        <v>44132.3114903588</v>
      </c>
      <c r="B344" s="8" t="s">
        <v>38</v>
      </c>
      <c r="C344" s="8">
        <v>21475.0</v>
      </c>
      <c r="D344" s="8" t="s">
        <v>69</v>
      </c>
      <c r="F344" s="8" t="s">
        <v>106</v>
      </c>
      <c r="G344" s="8">
        <v>3253.0</v>
      </c>
      <c r="H344" s="8" t="s">
        <v>29</v>
      </c>
      <c r="I344" s="8" t="s">
        <v>95</v>
      </c>
      <c r="L344" s="8" t="s">
        <v>31</v>
      </c>
      <c r="M344" s="8" t="s">
        <v>34</v>
      </c>
      <c r="P344" s="9">
        <v>44131.0</v>
      </c>
      <c r="Q344" s="10">
        <v>0.04166666666424135</v>
      </c>
      <c r="R344" s="11" t="str">
        <f t="shared" si="1"/>
        <v>Настройка SEHO PRI</v>
      </c>
      <c r="S344" s="12" t="str">
        <f>iferror(VLOOKUP(C344,'ФИО'!A:B,2,0),"учётный код не найден")</f>
        <v>Байрамашвили Альберт Зурабович</v>
      </c>
      <c r="T344" s="13" t="str">
        <f t="shared" si="2"/>
        <v>915-00095.A - ПКД-8В-1 АСЛБ.467249.108 (Квант)</v>
      </c>
      <c r="U344" s="8">
        <v>0.0</v>
      </c>
      <c r="V344" s="8">
        <v>0.0</v>
      </c>
      <c r="X344" s="14" t="str">
        <f t="shared" si="31"/>
        <v>Данные не заполены</v>
      </c>
      <c r="Y344" s="15">
        <f t="shared" si="32"/>
        <v>0</v>
      </c>
    </row>
    <row r="345" hidden="1">
      <c r="A345" s="7">
        <v>44112.81659318287</v>
      </c>
      <c r="B345" s="8" t="s">
        <v>26</v>
      </c>
      <c r="C345" s="8">
        <v>21522.0</v>
      </c>
      <c r="D345" s="8" t="s">
        <v>69</v>
      </c>
      <c r="F345" s="8" t="s">
        <v>106</v>
      </c>
      <c r="G345" s="8">
        <v>2785.0</v>
      </c>
      <c r="H345" s="8" t="s">
        <v>29</v>
      </c>
      <c r="I345" s="8" t="s">
        <v>165</v>
      </c>
      <c r="L345" s="8" t="s">
        <v>31</v>
      </c>
      <c r="M345" s="8" t="s">
        <v>34</v>
      </c>
      <c r="N345" s="8"/>
      <c r="O345" s="8"/>
      <c r="P345" s="9">
        <v>44112.0</v>
      </c>
      <c r="Q345" s="10">
        <v>0.020833333335758653</v>
      </c>
      <c r="R345" s="11" t="str">
        <f t="shared" si="1"/>
        <v>Настройка SEHO PRI</v>
      </c>
      <c r="S345" s="16" t="str">
        <f>iferror(VLOOKUP(C345,'ФИО'!A:B,2,0),"учётный код не найден")</f>
        <v>Исаев Никита Дмитриевич</v>
      </c>
      <c r="T345" s="13" t="str">
        <f t="shared" si="2"/>
        <v>915-00056.A - Модуль TC (Энергосервис)</v>
      </c>
      <c r="U345" s="8">
        <v>0.0</v>
      </c>
      <c r="V345" s="8">
        <v>0.0</v>
      </c>
      <c r="W345" s="21" t="str">
        <f t="shared" ref="W345:W346" si="41">IFERROR((((38412/(ifs(O345&lt;35,35,O345&gt;34,O345)/N345)*0.7))),"Данные не заполены")</f>
        <v>Данные не заполены</v>
      </c>
      <c r="X345" s="15" t="str">
        <f t="shared" si="31"/>
        <v>Данные не заполены</v>
      </c>
      <c r="Y345" s="15">
        <f t="shared" si="32"/>
        <v>0</v>
      </c>
    </row>
    <row r="346" hidden="1">
      <c r="A346" s="7">
        <v>44105.8305422338</v>
      </c>
      <c r="B346" s="8" t="s">
        <v>26</v>
      </c>
      <c r="C346" s="8">
        <v>21522.0</v>
      </c>
      <c r="D346" s="18" t="s">
        <v>69</v>
      </c>
      <c r="F346" s="8" t="s">
        <v>79</v>
      </c>
      <c r="G346" s="18">
        <v>3370.0</v>
      </c>
      <c r="H346" s="8" t="s">
        <v>29</v>
      </c>
      <c r="I346" s="8" t="s">
        <v>73</v>
      </c>
      <c r="L346" s="18" t="s">
        <v>31</v>
      </c>
      <c r="M346" s="8" t="s">
        <v>34</v>
      </c>
      <c r="N346" s="8"/>
      <c r="O346" s="8"/>
      <c r="P346" s="19">
        <v>44105.0</v>
      </c>
      <c r="Q346" s="20">
        <v>0.04166666666424135</v>
      </c>
      <c r="R346" s="13" t="str">
        <f t="shared" si="1"/>
        <v>Настройка SEHO SEC</v>
      </c>
      <c r="S346" s="16" t="str">
        <f>iferror(VLOOKUP(C346,'ФИО'!A:B,2,0),"учётный код не найден")</f>
        <v>Исаев Никита Дмитриевич</v>
      </c>
      <c r="T346" s="13" t="str">
        <f t="shared" si="2"/>
        <v>915-00114.A - ПБЭС-37П АСЛБ.467291.010-01 (Квант)</v>
      </c>
      <c r="U346" s="8">
        <v>0.0</v>
      </c>
      <c r="V346" s="8">
        <v>0.0</v>
      </c>
      <c r="W346" s="21" t="str">
        <f t="shared" si="41"/>
        <v>Данные не заполены</v>
      </c>
      <c r="X346" s="15" t="str">
        <f t="shared" si="31"/>
        <v>Данные не заполены</v>
      </c>
      <c r="Y346" s="15">
        <f t="shared" si="32"/>
        <v>0</v>
      </c>
    </row>
    <row r="347" hidden="1">
      <c r="A347" s="7">
        <v>44125.32954439815</v>
      </c>
      <c r="B347" s="8" t="s">
        <v>38</v>
      </c>
      <c r="C347" s="8">
        <v>20751.0</v>
      </c>
      <c r="D347" s="8" t="s">
        <v>27</v>
      </c>
      <c r="E347" s="8" t="s">
        <v>50</v>
      </c>
      <c r="L347" s="8" t="s">
        <v>31</v>
      </c>
      <c r="M347" s="8" t="s">
        <v>34</v>
      </c>
      <c r="P347" s="9">
        <v>44124.0</v>
      </c>
      <c r="Q347" s="10">
        <v>0.020833333335758653</v>
      </c>
      <c r="R347" s="11" t="str">
        <f t="shared" si="1"/>
        <v>Заполнение отчёта</v>
      </c>
      <c r="S347" s="16" t="str">
        <f>iferror(VLOOKUP(C347,'ФИО'!A:B,2,0),"учётный код не найден")</f>
        <v>Кезерев Виталий Романович</v>
      </c>
      <c r="T347" s="13" t="str">
        <f t="shared" si="2"/>
        <v/>
      </c>
      <c r="X347" s="14" t="str">
        <f t="shared" si="31"/>
        <v>Данные не заполены</v>
      </c>
      <c r="Y347" s="15">
        <f t="shared" si="32"/>
        <v>0</v>
      </c>
    </row>
    <row r="348" hidden="1">
      <c r="A348" s="7">
        <v>44130.30487511574</v>
      </c>
      <c r="B348" s="8" t="s">
        <v>76</v>
      </c>
      <c r="C348" s="8">
        <v>21954.0</v>
      </c>
      <c r="D348" s="8" t="s">
        <v>27</v>
      </c>
      <c r="E348" s="8" t="s">
        <v>57</v>
      </c>
      <c r="G348" s="8">
        <v>3237.0</v>
      </c>
      <c r="H348" s="8" t="s">
        <v>29</v>
      </c>
      <c r="I348" s="8" t="s">
        <v>56</v>
      </c>
      <c r="L348" s="8" t="s">
        <v>31</v>
      </c>
      <c r="M348" s="8" t="s">
        <v>34</v>
      </c>
      <c r="P348" s="9">
        <v>44129.0</v>
      </c>
      <c r="Q348" s="10">
        <v>0.08333333333575865</v>
      </c>
      <c r="R348" s="11" t="str">
        <f t="shared" si="1"/>
        <v>Настройка линии Primary</v>
      </c>
      <c r="S348" s="12" t="str">
        <f>iferror(VLOOKUP(C348,'ФИО'!A:B,2,0),"учётный код не найден")</f>
        <v>Александров Александр Викторович</v>
      </c>
      <c r="T348" s="13" t="str">
        <f t="shared" si="2"/>
        <v>915-00098.А - ПКБУИК-38 АСЛБ.465122.020 (Квант)</v>
      </c>
      <c r="U348" s="8">
        <v>0.0</v>
      </c>
      <c r="V348" s="8">
        <v>0.0</v>
      </c>
      <c r="W348" s="17" t="str">
        <f t="shared" ref="W348:W373" si="42">IFERROR((((38412/(ifs(O348&lt;35,35,O348&gt;34,O348)/N348)*0.7))),"Данные не заполены")</f>
        <v>Данные не заполены</v>
      </c>
      <c r="X348" s="14" t="str">
        <f t="shared" si="31"/>
        <v>Данные не заполены</v>
      </c>
      <c r="Y348" s="15">
        <f t="shared" si="32"/>
        <v>0</v>
      </c>
    </row>
    <row r="349" hidden="1">
      <c r="A349" s="7">
        <v>44130.30724446759</v>
      </c>
      <c r="B349" s="8" t="s">
        <v>76</v>
      </c>
      <c r="C349" s="8">
        <v>21954.0</v>
      </c>
      <c r="D349" s="8" t="s">
        <v>27</v>
      </c>
      <c r="E349" s="8" t="s">
        <v>57</v>
      </c>
      <c r="G349" s="8">
        <v>3793.0</v>
      </c>
      <c r="H349" s="8" t="s">
        <v>29</v>
      </c>
      <c r="I349" s="8" t="s">
        <v>163</v>
      </c>
      <c r="L349" s="8" t="s">
        <v>31</v>
      </c>
      <c r="M349" s="8" t="s">
        <v>34</v>
      </c>
      <c r="P349" s="9">
        <v>44129.0</v>
      </c>
      <c r="Q349" s="10">
        <v>0.04166666666424135</v>
      </c>
      <c r="R349" s="11" t="str">
        <f t="shared" si="1"/>
        <v>Настройка линии Primary</v>
      </c>
      <c r="S349" s="12" t="str">
        <f>iferror(VLOOKUP(C349,'ФИО'!A:B,2,0),"учётный код не найден")</f>
        <v>Александров Александр Викторович</v>
      </c>
      <c r="T349" s="13" t="str">
        <f t="shared" si="2"/>
        <v>915-00068.A - uklsip(s)220_v3.01 (Гефест)</v>
      </c>
      <c r="U349" s="8">
        <v>0.0</v>
      </c>
      <c r="V349" s="8">
        <v>0.0</v>
      </c>
      <c r="W349" s="17" t="str">
        <f t="shared" si="42"/>
        <v>Данные не заполены</v>
      </c>
      <c r="X349" s="14" t="str">
        <f t="shared" si="31"/>
        <v>Данные не заполены</v>
      </c>
      <c r="Y349" s="15">
        <f t="shared" si="32"/>
        <v>0</v>
      </c>
    </row>
    <row r="350" hidden="1">
      <c r="A350" s="7">
        <v>44130.31310721065</v>
      </c>
      <c r="B350" s="8" t="s">
        <v>76</v>
      </c>
      <c r="C350" s="8">
        <v>21504.0</v>
      </c>
      <c r="D350" s="8" t="s">
        <v>27</v>
      </c>
      <c r="E350" s="8" t="s">
        <v>57</v>
      </c>
      <c r="G350" s="8">
        <v>3793.0</v>
      </c>
      <c r="H350" s="8" t="s">
        <v>29</v>
      </c>
      <c r="I350" s="8" t="s">
        <v>150</v>
      </c>
      <c r="L350" s="8" t="s">
        <v>31</v>
      </c>
      <c r="M350" s="8" t="s">
        <v>34</v>
      </c>
      <c r="P350" s="9">
        <v>44129.0</v>
      </c>
      <c r="Q350" s="10">
        <v>0.013888888890505768</v>
      </c>
      <c r="R350" s="11" t="str">
        <f t="shared" si="1"/>
        <v>Настройка линии Primary</v>
      </c>
      <c r="S350" s="12" t="str">
        <f>iferror(VLOOKUP(C350,'ФИО'!A:B,2,0),"учётный код не найден")</f>
        <v>Александрова Елена Сергеевна</v>
      </c>
      <c r="T350" s="13" t="str">
        <f t="shared" si="2"/>
        <v>UKLSiP(S)220_v3.00</v>
      </c>
      <c r="U350" s="8">
        <v>0.0</v>
      </c>
      <c r="V350" s="8">
        <v>0.0</v>
      </c>
      <c r="W350" s="17" t="str">
        <f t="shared" si="42"/>
        <v>Данные не заполены</v>
      </c>
      <c r="X350" s="14" t="str">
        <f t="shared" si="31"/>
        <v>Данные не заполены</v>
      </c>
      <c r="Y350" s="15">
        <f t="shared" si="32"/>
        <v>0</v>
      </c>
    </row>
    <row r="351" hidden="1">
      <c r="A351" s="7">
        <v>44110.334148622685</v>
      </c>
      <c r="B351" s="8" t="s">
        <v>94</v>
      </c>
      <c r="C351" s="8">
        <v>22575.0</v>
      </c>
      <c r="D351" s="8" t="s">
        <v>27</v>
      </c>
      <c r="E351" s="8" t="s">
        <v>82</v>
      </c>
      <c r="G351" s="8">
        <v>3726.0</v>
      </c>
      <c r="H351" s="8" t="s">
        <v>45</v>
      </c>
      <c r="K351" s="8" t="s">
        <v>58</v>
      </c>
      <c r="L351" s="8" t="s">
        <v>31</v>
      </c>
      <c r="M351" s="8" t="s">
        <v>34</v>
      </c>
      <c r="N351" s="8"/>
      <c r="O351" s="8"/>
      <c r="P351" s="9">
        <v>44109.0</v>
      </c>
      <c r="Q351" s="10">
        <v>0.08333333333575865</v>
      </c>
      <c r="R351" s="11" t="str">
        <f t="shared" si="1"/>
        <v>Настройка установщиков</v>
      </c>
      <c r="S351" s="16" t="str">
        <f>iferror(VLOOKUP(C351,'ФИО'!A:B,2,0),"учётный код не найден")</f>
        <v>Куликов Виктор Алексеевич</v>
      </c>
      <c r="T351" s="13" t="str">
        <f t="shared" si="2"/>
        <v>ПУ метки i95</v>
      </c>
      <c r="U351" s="8">
        <v>4.0</v>
      </c>
      <c r="V351" s="8">
        <v>0.0</v>
      </c>
      <c r="W351" s="21" t="str">
        <f t="shared" si="42"/>
        <v>Данные не заполены</v>
      </c>
      <c r="X351" s="15" t="str">
        <f t="shared" si="31"/>
        <v>Данные не заполены</v>
      </c>
      <c r="Y351" s="15">
        <f t="shared" si="32"/>
        <v>0</v>
      </c>
    </row>
    <row r="352" hidden="1">
      <c r="A352" s="7">
        <v>44131.81585671296</v>
      </c>
      <c r="B352" s="8" t="s">
        <v>87</v>
      </c>
      <c r="C352" s="8">
        <v>21426.0</v>
      </c>
      <c r="D352" s="8" t="s">
        <v>27</v>
      </c>
      <c r="E352" s="8" t="s">
        <v>57</v>
      </c>
      <c r="G352" s="8">
        <v>3621.0</v>
      </c>
      <c r="H352" s="8" t="s">
        <v>29</v>
      </c>
      <c r="I352" s="8" t="s">
        <v>54</v>
      </c>
      <c r="L352" s="8" t="s">
        <v>31</v>
      </c>
      <c r="M352" s="8" t="s">
        <v>34</v>
      </c>
      <c r="P352" s="9">
        <v>44131.0</v>
      </c>
      <c r="Q352" s="10">
        <v>0.04166666666424135</v>
      </c>
      <c r="R352" s="11" t="str">
        <f t="shared" si="1"/>
        <v>Настройка линии Primary</v>
      </c>
      <c r="S352" s="12" t="str">
        <f>iferror(VLOOKUP(C352,'ФИО'!A:B,2,0),"учётный код не найден")</f>
        <v>Скибинский Антон Германович</v>
      </c>
      <c r="T352" s="13" t="str">
        <f t="shared" si="2"/>
        <v>915-00121.A - Процессорный модуль РСЕН.469555.027 (КНС Групп)</v>
      </c>
      <c r="U352" s="8">
        <v>0.0</v>
      </c>
      <c r="V352" s="8">
        <v>0.0</v>
      </c>
      <c r="W352" s="17" t="str">
        <f t="shared" si="42"/>
        <v>Данные не заполены</v>
      </c>
      <c r="X352" s="14" t="str">
        <f t="shared" si="31"/>
        <v>Данные не заполены</v>
      </c>
      <c r="Y352" s="15">
        <f t="shared" si="32"/>
        <v>0</v>
      </c>
    </row>
    <row r="353" hidden="1">
      <c r="A353" s="7">
        <v>44106.828667974536</v>
      </c>
      <c r="B353" s="8" t="s">
        <v>87</v>
      </c>
      <c r="C353" s="8">
        <v>21426.0</v>
      </c>
      <c r="D353" s="8" t="s">
        <v>27</v>
      </c>
      <c r="E353" s="8" t="s">
        <v>121</v>
      </c>
      <c r="G353" s="8">
        <v>3579.0</v>
      </c>
      <c r="H353" s="8" t="s">
        <v>29</v>
      </c>
      <c r="I353" s="8" t="s">
        <v>42</v>
      </c>
      <c r="L353" s="8" t="s">
        <v>31</v>
      </c>
      <c r="M353" s="8" t="s">
        <v>34</v>
      </c>
      <c r="N353" s="8"/>
      <c r="O353" s="8"/>
      <c r="P353" s="9">
        <v>44106.0</v>
      </c>
      <c r="Q353" s="10">
        <v>0.027777777781011537</v>
      </c>
      <c r="R353" s="13" t="str">
        <f t="shared" si="1"/>
        <v>Настройка линии Secondary</v>
      </c>
      <c r="S353" s="16" t="str">
        <f>iferror(VLOOKUP(C353,'ФИО'!A:B,2,0),"учётный код не найден")</f>
        <v>Скибинский Антон Германович</v>
      </c>
      <c r="T353" s="13" t="str">
        <f t="shared" si="2"/>
        <v>915-00070.A - Модуль телематики ТМ1 v3 (Сознательные машины)</v>
      </c>
      <c r="U353" s="8">
        <v>0.0</v>
      </c>
      <c r="V353" s="8">
        <v>0.0</v>
      </c>
      <c r="W353" s="21" t="str">
        <f t="shared" si="42"/>
        <v>Данные не заполены</v>
      </c>
      <c r="X353" s="15" t="str">
        <f t="shared" si="31"/>
        <v>Данные не заполены</v>
      </c>
      <c r="Y353" s="15">
        <f t="shared" si="32"/>
        <v>0</v>
      </c>
    </row>
    <row r="354" hidden="1">
      <c r="A354" s="7">
        <v>44110.32808724537</v>
      </c>
      <c r="B354" s="8" t="s">
        <v>94</v>
      </c>
      <c r="C354" s="8">
        <v>21426.0</v>
      </c>
      <c r="D354" s="8" t="s">
        <v>27</v>
      </c>
      <c r="E354" s="8" t="s">
        <v>121</v>
      </c>
      <c r="G354" s="8">
        <v>3726.0</v>
      </c>
      <c r="H354" s="8" t="s">
        <v>45</v>
      </c>
      <c r="K354" s="8" t="s">
        <v>58</v>
      </c>
      <c r="L354" s="8" t="s">
        <v>31</v>
      </c>
      <c r="M354" s="8" t="s">
        <v>34</v>
      </c>
      <c r="N354" s="8"/>
      <c r="O354" s="8"/>
      <c r="P354" s="9">
        <v>44109.0</v>
      </c>
      <c r="Q354" s="10">
        <v>0.04166666666424135</v>
      </c>
      <c r="R354" s="11" t="str">
        <f t="shared" si="1"/>
        <v>Настройка линии Secondary</v>
      </c>
      <c r="S354" s="16" t="str">
        <f>iferror(VLOOKUP(C354,'ФИО'!A:B,2,0),"учётный код не найден")</f>
        <v>Скибинский Антон Германович</v>
      </c>
      <c r="T354" s="13" t="str">
        <f t="shared" si="2"/>
        <v>ПУ метки i95</v>
      </c>
      <c r="U354" s="8">
        <v>0.0</v>
      </c>
      <c r="V354" s="8">
        <v>0.0</v>
      </c>
      <c r="W354" s="21" t="str">
        <f t="shared" si="42"/>
        <v>Данные не заполены</v>
      </c>
      <c r="X354" s="15" t="str">
        <f t="shared" si="31"/>
        <v>Данные не заполены</v>
      </c>
      <c r="Y354" s="15">
        <f t="shared" si="32"/>
        <v>0</v>
      </c>
    </row>
    <row r="355" hidden="1">
      <c r="A355" s="7">
        <v>44111.29648601852</v>
      </c>
      <c r="B355" s="8" t="s">
        <v>94</v>
      </c>
      <c r="C355" s="8">
        <v>60000.0</v>
      </c>
      <c r="D355" s="8" t="s">
        <v>69</v>
      </c>
      <c r="F355" s="8" t="s">
        <v>72</v>
      </c>
      <c r="G355" s="8">
        <v>3047.0</v>
      </c>
      <c r="H355" s="8" t="s">
        <v>29</v>
      </c>
      <c r="I355" s="8" t="s">
        <v>77</v>
      </c>
      <c r="L355" s="8" t="s">
        <v>37</v>
      </c>
      <c r="P355" s="9">
        <v>44110.0</v>
      </c>
      <c r="Q355" s="10">
        <v>0.11111111110949423</v>
      </c>
      <c r="R355" s="11" t="str">
        <f t="shared" si="1"/>
        <v>Пайка компонентов PRI</v>
      </c>
      <c r="S355" s="12" t="str">
        <f>iferror(VLOOKUP(C355,'ФИО'!A:B,2,0),"учётный код не найден")</f>
        <v>THT</v>
      </c>
      <c r="T355" s="13" t="str">
        <f t="shared" si="2"/>
        <v>915-00081.A-Модуль Трик8 (Кибертех)</v>
      </c>
      <c r="U355" s="8">
        <v>76.0</v>
      </c>
      <c r="V355" s="8">
        <v>0.0</v>
      </c>
      <c r="W355" s="21" t="str">
        <f t="shared" si="42"/>
        <v>Данные не заполены</v>
      </c>
      <c r="X355" s="15" t="str">
        <f t="shared" si="31"/>
        <v>Данные не заполены</v>
      </c>
      <c r="Y355" s="15">
        <f t="shared" si="32"/>
        <v>0</v>
      </c>
    </row>
    <row r="356" hidden="1">
      <c r="A356" s="7">
        <v>44110.334676087965</v>
      </c>
      <c r="B356" s="8" t="s">
        <v>94</v>
      </c>
      <c r="C356" s="8">
        <v>22575.0</v>
      </c>
      <c r="D356" s="8" t="s">
        <v>27</v>
      </c>
      <c r="E356" s="8" t="s">
        <v>111</v>
      </c>
      <c r="L356" s="8" t="s">
        <v>31</v>
      </c>
      <c r="M356" s="8" t="s">
        <v>34</v>
      </c>
      <c r="N356" s="8"/>
      <c r="O356" s="8"/>
      <c r="P356" s="9">
        <v>44109.0</v>
      </c>
      <c r="Q356" s="10">
        <v>0.0034722222189884633</v>
      </c>
      <c r="R356" s="11" t="str">
        <f t="shared" si="1"/>
        <v>Уборка линии</v>
      </c>
      <c r="S356" s="16" t="str">
        <f>iferror(VLOOKUP(C356,'ФИО'!A:B,2,0),"учётный код не найден")</f>
        <v>Куликов Виктор Алексеевич</v>
      </c>
      <c r="T356" s="13" t="str">
        <f t="shared" si="2"/>
        <v/>
      </c>
      <c r="W356" s="21" t="str">
        <f t="shared" si="42"/>
        <v>Данные не заполены</v>
      </c>
      <c r="X356" s="15" t="str">
        <f t="shared" si="31"/>
        <v>Данные не заполены</v>
      </c>
      <c r="Y356" s="15">
        <f t="shared" si="32"/>
        <v>0</v>
      </c>
    </row>
    <row r="357" hidden="1">
      <c r="A357" s="7">
        <v>44111.30724625</v>
      </c>
      <c r="B357" s="8" t="s">
        <v>94</v>
      </c>
      <c r="C357" s="8">
        <v>50000.0</v>
      </c>
      <c r="D357" s="8" t="s">
        <v>27</v>
      </c>
      <c r="E357" s="8" t="s">
        <v>67</v>
      </c>
      <c r="G357" s="8">
        <v>3580.0</v>
      </c>
      <c r="H357" s="8" t="s">
        <v>29</v>
      </c>
      <c r="I357" s="8" t="s">
        <v>145</v>
      </c>
      <c r="L357" s="8" t="s">
        <v>37</v>
      </c>
      <c r="P357" s="9">
        <v>44110.0</v>
      </c>
      <c r="Q357" s="10">
        <v>0.027777777781011537</v>
      </c>
      <c r="R357" s="11" t="str">
        <f t="shared" si="1"/>
        <v>Сборка на линии Prim</v>
      </c>
      <c r="S357" s="16" t="str">
        <f>iferror(VLOOKUP(C357,'ФИО'!A:B,2,0),"учётный код не найден")</f>
        <v>SMT</v>
      </c>
      <c r="T357" s="13" t="str">
        <f t="shared" si="2"/>
        <v>XR (OÜ KLARBERG)</v>
      </c>
      <c r="U357" s="8">
        <v>20.0</v>
      </c>
      <c r="V357" s="8">
        <v>0.0</v>
      </c>
      <c r="W357" s="21" t="str">
        <f t="shared" si="42"/>
        <v>Данные не заполены</v>
      </c>
      <c r="X357" s="15" t="str">
        <f t="shared" si="31"/>
        <v>Данные не заполены</v>
      </c>
      <c r="Y357" s="15">
        <f t="shared" si="32"/>
        <v>0</v>
      </c>
    </row>
    <row r="358" hidden="1">
      <c r="A358" s="7">
        <v>44110.335759733796</v>
      </c>
      <c r="B358" s="8" t="s">
        <v>94</v>
      </c>
      <c r="C358" s="8">
        <v>22575.0</v>
      </c>
      <c r="D358" s="8" t="s">
        <v>27</v>
      </c>
      <c r="E358" s="8" t="s">
        <v>88</v>
      </c>
      <c r="G358" s="8">
        <v>3726.0</v>
      </c>
      <c r="H358" s="8" t="s">
        <v>45</v>
      </c>
      <c r="K358" s="8" t="s">
        <v>58</v>
      </c>
      <c r="L358" s="8" t="s">
        <v>37</v>
      </c>
      <c r="P358" s="9">
        <v>44109.0</v>
      </c>
      <c r="Q358" s="10">
        <v>0.3368055555547471</v>
      </c>
      <c r="R358" s="11" t="str">
        <f t="shared" si="1"/>
        <v>Сборка на линии Sec</v>
      </c>
      <c r="S358" s="16" t="str">
        <f>iferror(VLOOKUP(C358,'ФИО'!A:B,2,0),"учётный код не найден")</f>
        <v>Куликов Виктор Алексеевич</v>
      </c>
      <c r="T358" s="13" t="str">
        <f t="shared" si="2"/>
        <v>ПУ метки i95</v>
      </c>
      <c r="U358" s="8">
        <v>0.0</v>
      </c>
      <c r="V358" s="8">
        <v>0.0</v>
      </c>
      <c r="W358" s="21" t="str">
        <f t="shared" si="42"/>
        <v>Данные не заполены</v>
      </c>
      <c r="X358" s="15" t="str">
        <f t="shared" si="31"/>
        <v>Данные не заполены</v>
      </c>
      <c r="Y358" s="15">
        <f t="shared" si="32"/>
        <v>0</v>
      </c>
    </row>
    <row r="359" hidden="1">
      <c r="A359" s="7">
        <v>44111.28300185185</v>
      </c>
      <c r="B359" s="8" t="s">
        <v>94</v>
      </c>
      <c r="C359" s="8">
        <v>22575.0</v>
      </c>
      <c r="D359" s="8" t="s">
        <v>27</v>
      </c>
      <c r="E359" s="8" t="s">
        <v>88</v>
      </c>
      <c r="G359" s="8">
        <v>3234.0</v>
      </c>
      <c r="H359" s="8" t="s">
        <v>29</v>
      </c>
      <c r="I359" s="8" t="s">
        <v>135</v>
      </c>
      <c r="L359" s="8" t="s">
        <v>37</v>
      </c>
      <c r="M359" s="8" t="s">
        <v>34</v>
      </c>
      <c r="N359" s="8"/>
      <c r="O359" s="8"/>
      <c r="P359" s="9">
        <v>44110.0</v>
      </c>
      <c r="Q359" s="10">
        <v>0.25</v>
      </c>
      <c r="R359" s="11" t="str">
        <f t="shared" si="1"/>
        <v>Сборка на линии Sec</v>
      </c>
      <c r="S359" s="16" t="str">
        <f>iferror(VLOOKUP(C359,'ФИО'!A:B,2,0),"учётный код не найден")</f>
        <v>Куликов Виктор Алексеевич</v>
      </c>
      <c r="T359" s="13" t="str">
        <f t="shared" si="2"/>
        <v>915-00101.A - ПКД-9В АСЛБ.467249.107 (Квант)</v>
      </c>
      <c r="U359" s="8">
        <v>0.0</v>
      </c>
      <c r="V359" s="8">
        <v>0.0</v>
      </c>
      <c r="W359" s="21" t="str">
        <f t="shared" si="42"/>
        <v>Данные не заполены</v>
      </c>
      <c r="X359" s="15" t="str">
        <f t="shared" si="31"/>
        <v>Данные не заполены</v>
      </c>
    </row>
    <row r="360" hidden="1">
      <c r="A360" s="7">
        <v>44118.32404965277</v>
      </c>
      <c r="B360" s="8" t="s">
        <v>94</v>
      </c>
      <c r="C360" s="8">
        <v>21426.0</v>
      </c>
      <c r="D360" s="8" t="s">
        <v>27</v>
      </c>
      <c r="E360" s="8" t="s">
        <v>121</v>
      </c>
      <c r="G360" s="8">
        <v>3622.0</v>
      </c>
      <c r="H360" s="8" t="s">
        <v>29</v>
      </c>
      <c r="I360" s="8" t="s">
        <v>90</v>
      </c>
      <c r="L360" s="8" t="s">
        <v>31</v>
      </c>
      <c r="M360" s="8" t="s">
        <v>34</v>
      </c>
      <c r="P360" s="9">
        <v>44117.0</v>
      </c>
      <c r="Q360" s="10">
        <v>0.08333333333575865</v>
      </c>
      <c r="R360" s="11" t="str">
        <f t="shared" si="1"/>
        <v>Настройка линии Secondary</v>
      </c>
      <c r="S360" s="16" t="str">
        <f>iferror(VLOOKUP(C360,'ФИО'!A:B,2,0),"учётный код не найден")</f>
        <v>Скибинский Антон Германович</v>
      </c>
      <c r="T360" s="13" t="str">
        <f t="shared" si="2"/>
        <v>915-00124.A - Tioga Pass_v1.1 (Гагар.ин)</v>
      </c>
      <c r="U360" s="8">
        <v>0.0</v>
      </c>
      <c r="V360" s="8">
        <v>0.0</v>
      </c>
      <c r="W360" s="17" t="str">
        <f t="shared" si="42"/>
        <v>Данные не заполены</v>
      </c>
      <c r="X360" s="14" t="str">
        <f t="shared" si="31"/>
        <v>Данные не заполены</v>
      </c>
      <c r="Y360" s="15">
        <f t="shared" ref="Y360:Y479" si="43">iferror((V360/if(U360=0,1,U360)),0)</f>
        <v>0</v>
      </c>
    </row>
    <row r="361" hidden="1">
      <c r="A361" s="7">
        <v>44118.316512233796</v>
      </c>
      <c r="B361" s="8" t="s">
        <v>94</v>
      </c>
      <c r="C361" s="8">
        <v>20985.0</v>
      </c>
      <c r="D361" s="8" t="s">
        <v>27</v>
      </c>
      <c r="E361" s="8" t="s">
        <v>121</v>
      </c>
      <c r="G361" s="8">
        <v>3622.0</v>
      </c>
      <c r="H361" s="8" t="s">
        <v>29</v>
      </c>
      <c r="I361" s="8" t="s">
        <v>90</v>
      </c>
      <c r="L361" s="8" t="s">
        <v>31</v>
      </c>
      <c r="M361" s="8" t="s">
        <v>34</v>
      </c>
      <c r="P361" s="9">
        <v>44117.0</v>
      </c>
      <c r="Q361" s="10">
        <v>0.006944444445252884</v>
      </c>
      <c r="R361" s="11" t="str">
        <f t="shared" si="1"/>
        <v>Настройка линии Secondary</v>
      </c>
      <c r="S361" s="16" t="str">
        <f>iferror(VLOOKUP(C361,'ФИО'!A:B,2,0),"учётный код не найден")</f>
        <v>Никонорова Наталия Владимировна</v>
      </c>
      <c r="T361" s="13" t="str">
        <f t="shared" si="2"/>
        <v>915-00124.A - Tioga Pass_v1.1 (Гагар.ин)</v>
      </c>
      <c r="U361" s="8">
        <v>0.0</v>
      </c>
      <c r="V361" s="8">
        <v>0.0</v>
      </c>
      <c r="W361" s="17" t="str">
        <f t="shared" si="42"/>
        <v>Данные не заполены</v>
      </c>
      <c r="X361" s="14" t="str">
        <f t="shared" si="31"/>
        <v>Данные не заполены</v>
      </c>
      <c r="Y361" s="15">
        <f t="shared" si="43"/>
        <v>0</v>
      </c>
    </row>
    <row r="362" hidden="1">
      <c r="A362" s="7">
        <v>44111.284819872686</v>
      </c>
      <c r="B362" s="8" t="s">
        <v>94</v>
      </c>
      <c r="C362" s="8">
        <v>22575.0</v>
      </c>
      <c r="D362" s="8" t="s">
        <v>27</v>
      </c>
      <c r="E362" s="8" t="s">
        <v>112</v>
      </c>
      <c r="G362" s="8">
        <v>3234.0</v>
      </c>
      <c r="H362" s="8" t="s">
        <v>29</v>
      </c>
      <c r="I362" s="8" t="s">
        <v>135</v>
      </c>
      <c r="L362" s="8" t="s">
        <v>31</v>
      </c>
      <c r="M362" s="8" t="s">
        <v>34</v>
      </c>
      <c r="N362" s="8"/>
      <c r="O362" s="8"/>
      <c r="P362" s="9">
        <v>44110.0</v>
      </c>
      <c r="Q362" s="10">
        <v>0.01736111110949423</v>
      </c>
      <c r="R362" s="11" t="str">
        <f t="shared" si="1"/>
        <v>Разрядка питателей Sec</v>
      </c>
      <c r="S362" s="16" t="str">
        <f>iferror(VLOOKUP(C362,'ФИО'!A:B,2,0),"учётный код не найден")</f>
        <v>Куликов Виктор Алексеевич</v>
      </c>
      <c r="T362" s="13" t="str">
        <f t="shared" si="2"/>
        <v>915-00101.A - ПКД-9В АСЛБ.467249.107 (Квант)</v>
      </c>
      <c r="U362" s="8">
        <v>60.0</v>
      </c>
      <c r="V362" s="8">
        <v>0.0</v>
      </c>
      <c r="W362" s="21" t="str">
        <f t="shared" si="42"/>
        <v>Данные не заполены</v>
      </c>
      <c r="X362" s="15" t="str">
        <f t="shared" si="31"/>
        <v>Данные не заполены</v>
      </c>
      <c r="Y362" s="15">
        <f t="shared" si="43"/>
        <v>0</v>
      </c>
    </row>
    <row r="363" hidden="1">
      <c r="A363" s="7">
        <v>44127.3150715625</v>
      </c>
      <c r="B363" s="8" t="s">
        <v>94</v>
      </c>
      <c r="C363" s="8">
        <v>21928.0</v>
      </c>
      <c r="D363" s="8" t="s">
        <v>27</v>
      </c>
      <c r="E363" s="8" t="s">
        <v>121</v>
      </c>
      <c r="G363" s="8">
        <v>3804.0</v>
      </c>
      <c r="H363" s="8" t="s">
        <v>45</v>
      </c>
      <c r="K363" s="8" t="s">
        <v>52</v>
      </c>
      <c r="L363" s="8" t="s">
        <v>31</v>
      </c>
      <c r="M363" s="8" t="s">
        <v>34</v>
      </c>
      <c r="P363" s="9">
        <v>44126.0</v>
      </c>
      <c r="Q363" s="10">
        <v>0.04166666666424135</v>
      </c>
      <c r="R363" s="11" t="str">
        <f t="shared" si="1"/>
        <v>Настройка линии Secondary</v>
      </c>
      <c r="S363" s="16" t="str">
        <f>iferror(VLOOKUP(C363,'ФИО'!A:B,2,0),"учётный код не найден")</f>
        <v>Савченко Виктория Андреевна</v>
      </c>
      <c r="T363" s="13" t="str">
        <f t="shared" si="2"/>
        <v>М17V2 (900-00018.D)_910-00023.H и ПУ 910-00012.I</v>
      </c>
      <c r="U363" s="8">
        <v>0.0</v>
      </c>
      <c r="V363" s="8">
        <v>0.0</v>
      </c>
      <c r="W363" s="17" t="str">
        <f t="shared" si="42"/>
        <v>Данные не заполены</v>
      </c>
      <c r="X363" s="14" t="str">
        <f t="shared" si="31"/>
        <v>Данные не заполены</v>
      </c>
      <c r="Y363" s="15">
        <f t="shared" si="43"/>
        <v>0</v>
      </c>
    </row>
    <row r="364" hidden="1">
      <c r="A364" s="7">
        <v>44133.846153425926</v>
      </c>
      <c r="B364" s="8" t="s">
        <v>127</v>
      </c>
      <c r="C364" s="8">
        <v>20849.0</v>
      </c>
      <c r="D364" s="8" t="s">
        <v>27</v>
      </c>
      <c r="E364" s="8" t="s">
        <v>160</v>
      </c>
      <c r="G364" s="8">
        <v>3621.0</v>
      </c>
      <c r="H364" s="8" t="s">
        <v>29</v>
      </c>
      <c r="I364" s="8" t="s">
        <v>54</v>
      </c>
      <c r="L364" s="8" t="s">
        <v>31</v>
      </c>
      <c r="M364" s="8" t="s">
        <v>34</v>
      </c>
      <c r="P364" s="9">
        <v>44133.0</v>
      </c>
      <c r="Q364" s="10">
        <v>0.16666666666424135</v>
      </c>
      <c r="R364" s="11" t="str">
        <f t="shared" si="1"/>
        <v>Проверка программы установщиков</v>
      </c>
      <c r="S364" s="16" t="str">
        <f>iferror(VLOOKUP(C364,'ФИО'!A:B,2,0),"учётный код не найден")</f>
        <v>Шилоносов Максим Евгеньевич</v>
      </c>
      <c r="T364" s="11" t="str">
        <f t="shared" si="2"/>
        <v>915-00121.A - Процессорный модуль РСЕН.469555.027 (КНС Групп)</v>
      </c>
      <c r="U364" s="8">
        <v>0.0</v>
      </c>
      <c r="V364" s="8">
        <v>0.0</v>
      </c>
      <c r="W364" s="17" t="str">
        <f t="shared" si="42"/>
        <v>Данные не заполены</v>
      </c>
      <c r="X364" s="14" t="str">
        <f t="shared" si="31"/>
        <v>Данные не заполены</v>
      </c>
      <c r="Y364" s="15">
        <f t="shared" si="43"/>
        <v>0</v>
      </c>
    </row>
    <row r="365" hidden="1">
      <c r="A365" s="7">
        <v>44110.32639905093</v>
      </c>
      <c r="B365" s="8" t="s">
        <v>94</v>
      </c>
      <c r="C365" s="8">
        <v>21426.0</v>
      </c>
      <c r="D365" s="8" t="s">
        <v>27</v>
      </c>
      <c r="E365" s="8" t="s">
        <v>101</v>
      </c>
      <c r="G365" s="8">
        <v>3234.0</v>
      </c>
      <c r="H365" s="8" t="s">
        <v>29</v>
      </c>
      <c r="I365" s="8" t="s">
        <v>135</v>
      </c>
      <c r="L365" s="8" t="s">
        <v>31</v>
      </c>
      <c r="M365" s="8" t="s">
        <v>34</v>
      </c>
      <c r="N365" s="8"/>
      <c r="O365" s="8"/>
      <c r="P365" s="9">
        <v>44109.0</v>
      </c>
      <c r="Q365" s="10">
        <v>0.013888888890505768</v>
      </c>
      <c r="R365" s="11" t="str">
        <f t="shared" si="1"/>
        <v>Настройка принтера Prim</v>
      </c>
      <c r="S365" s="16" t="str">
        <f>iferror(VLOOKUP(C365,'ФИО'!A:B,2,0),"учётный код не найден")</f>
        <v>Скибинский Антон Германович</v>
      </c>
      <c r="T365" s="13" t="str">
        <f t="shared" si="2"/>
        <v>915-00101.A - ПКД-9В АСЛБ.467249.107 (Квант)</v>
      </c>
      <c r="U365" s="8">
        <v>1.0</v>
      </c>
      <c r="V365" s="8">
        <v>0.0</v>
      </c>
      <c r="W365" s="21" t="str">
        <f t="shared" si="42"/>
        <v>Данные не заполены</v>
      </c>
      <c r="X365" s="15" t="str">
        <f t="shared" si="31"/>
        <v>Данные не заполены</v>
      </c>
      <c r="Y365" s="15">
        <f t="shared" si="43"/>
        <v>0</v>
      </c>
    </row>
    <row r="366" hidden="1">
      <c r="A366" s="7">
        <v>44111.2717378588</v>
      </c>
      <c r="B366" s="8" t="s">
        <v>94</v>
      </c>
      <c r="C366" s="8">
        <v>22131.0</v>
      </c>
      <c r="D366" s="8" t="s">
        <v>27</v>
      </c>
      <c r="E366" s="8" t="s">
        <v>101</v>
      </c>
      <c r="G366" s="8">
        <v>3580.0</v>
      </c>
      <c r="H366" s="8" t="s">
        <v>29</v>
      </c>
      <c r="I366" s="8" t="s">
        <v>145</v>
      </c>
      <c r="L366" s="8" t="s">
        <v>31</v>
      </c>
      <c r="M366" s="8" t="s">
        <v>34</v>
      </c>
      <c r="N366" s="8"/>
      <c r="O366" s="8"/>
      <c r="P366" s="9">
        <v>44110.0</v>
      </c>
      <c r="Q366" s="10">
        <v>0.027777777777777776</v>
      </c>
      <c r="R366" s="11" t="str">
        <f t="shared" si="1"/>
        <v>Настройка принтера Prim</v>
      </c>
      <c r="S366" s="16" t="str">
        <f>iferror(VLOOKUP(C366,'ФИО'!A:B,2,0),"учётный код не найден")</f>
        <v>Стосик Степан Владимирович</v>
      </c>
      <c r="T366" s="13" t="str">
        <f t="shared" si="2"/>
        <v>XR (OÜ KLARBERG)</v>
      </c>
      <c r="U366" s="8">
        <v>1.0</v>
      </c>
      <c r="V366" s="8">
        <v>0.0</v>
      </c>
      <c r="W366" s="21" t="str">
        <f t="shared" si="42"/>
        <v>Данные не заполены</v>
      </c>
      <c r="X366" s="15" t="str">
        <f t="shared" si="31"/>
        <v>Данные не заполены</v>
      </c>
      <c r="Y366" s="15">
        <f t="shared" si="43"/>
        <v>0</v>
      </c>
    </row>
    <row r="367" hidden="1">
      <c r="A367" s="7">
        <v>44111.713328252314</v>
      </c>
      <c r="B367" s="8" t="s">
        <v>89</v>
      </c>
      <c r="C367" s="8">
        <v>22011.0</v>
      </c>
      <c r="D367" s="8" t="s">
        <v>27</v>
      </c>
      <c r="E367" s="8" t="s">
        <v>101</v>
      </c>
      <c r="G367" s="8">
        <v>3580.0</v>
      </c>
      <c r="H367" s="8" t="s">
        <v>29</v>
      </c>
      <c r="I367" s="8" t="s">
        <v>145</v>
      </c>
      <c r="L367" s="8" t="s">
        <v>31</v>
      </c>
      <c r="M367" s="8" t="s">
        <v>34</v>
      </c>
      <c r="N367" s="8"/>
      <c r="O367" s="8"/>
      <c r="P367" s="9">
        <v>44111.0</v>
      </c>
      <c r="Q367" s="10">
        <v>0.03472222221898846</v>
      </c>
      <c r="R367" s="11" t="str">
        <f t="shared" si="1"/>
        <v>Настройка принтера Prim</v>
      </c>
      <c r="S367" s="16" t="str">
        <f>iferror(VLOOKUP(C367,'ФИО'!A:B,2,0),"учётный код не найден")</f>
        <v>Сергеев Алексей Андреевич</v>
      </c>
      <c r="T367" s="13" t="str">
        <f t="shared" si="2"/>
        <v>XR (OÜ KLARBERG)</v>
      </c>
      <c r="U367" s="8">
        <v>1.0</v>
      </c>
      <c r="V367" s="8">
        <v>0.0</v>
      </c>
      <c r="W367" s="21" t="str">
        <f t="shared" si="42"/>
        <v>Данные не заполены</v>
      </c>
      <c r="X367" s="15" t="str">
        <f t="shared" si="31"/>
        <v>Данные не заполены</v>
      </c>
      <c r="Y367" s="15">
        <f t="shared" si="43"/>
        <v>0</v>
      </c>
    </row>
    <row r="368" hidden="1">
      <c r="A368" s="7">
        <v>44111.28829282407</v>
      </c>
      <c r="B368" s="8" t="s">
        <v>94</v>
      </c>
      <c r="C368" s="8">
        <v>22575.0</v>
      </c>
      <c r="D368" s="8" t="s">
        <v>27</v>
      </c>
      <c r="E368" s="8" t="s">
        <v>55</v>
      </c>
      <c r="G368" s="8">
        <v>3580.0</v>
      </c>
      <c r="H368" s="8" t="s">
        <v>29</v>
      </c>
      <c r="I368" s="8" t="s">
        <v>145</v>
      </c>
      <c r="L368" s="8" t="s">
        <v>31</v>
      </c>
      <c r="M368" s="8" t="s">
        <v>34</v>
      </c>
      <c r="N368" s="8"/>
      <c r="O368" s="8"/>
      <c r="P368" s="9">
        <v>44110.0</v>
      </c>
      <c r="Q368" s="10">
        <v>0.0034722222189884633</v>
      </c>
      <c r="R368" s="11" t="str">
        <f t="shared" si="1"/>
        <v>Маркировка плат</v>
      </c>
      <c r="S368" s="16" t="str">
        <f>iferror(VLOOKUP(C368,'ФИО'!A:B,2,0),"учётный код не найден")</f>
        <v>Куликов Виктор Алексеевич</v>
      </c>
      <c r="T368" s="13" t="str">
        <f t="shared" si="2"/>
        <v>XR (OÜ KLARBERG)</v>
      </c>
      <c r="U368" s="8">
        <v>0.0</v>
      </c>
      <c r="V368" s="8">
        <v>0.0</v>
      </c>
      <c r="W368" s="21" t="str">
        <f t="shared" si="42"/>
        <v>Данные не заполены</v>
      </c>
      <c r="X368" s="15" t="str">
        <f t="shared" si="31"/>
        <v>Данные не заполены</v>
      </c>
      <c r="Y368" s="15">
        <f t="shared" si="43"/>
        <v>0</v>
      </c>
    </row>
    <row r="369" hidden="1">
      <c r="A369" s="7">
        <v>44119.81499994213</v>
      </c>
      <c r="B369" s="8" t="s">
        <v>89</v>
      </c>
      <c r="C369" s="8">
        <v>20693.0</v>
      </c>
      <c r="D369" s="8" t="s">
        <v>27</v>
      </c>
      <c r="E369" s="8" t="s">
        <v>101</v>
      </c>
      <c r="G369" s="8">
        <v>3253.0</v>
      </c>
      <c r="H369" s="8" t="s">
        <v>29</v>
      </c>
      <c r="I369" s="8" t="s">
        <v>95</v>
      </c>
      <c r="L369" s="8" t="s">
        <v>31</v>
      </c>
      <c r="M369" s="8" t="s">
        <v>34</v>
      </c>
      <c r="P369" s="9">
        <v>44119.0</v>
      </c>
      <c r="Q369" s="10">
        <v>0.027777777781011537</v>
      </c>
      <c r="R369" s="11" t="str">
        <f t="shared" si="1"/>
        <v>Настройка принтера Prim</v>
      </c>
      <c r="S369" s="16" t="str">
        <f>iferror(VLOOKUP(C369,'ФИО'!A:B,2,0),"учётный код не найден")</f>
        <v>Аникина Раиса Владимировна</v>
      </c>
      <c r="T369" s="13" t="str">
        <f t="shared" si="2"/>
        <v>915-00095.A - ПКД-8В-1 АСЛБ.467249.108 (Квант)</v>
      </c>
      <c r="U369" s="8">
        <v>1.0</v>
      </c>
      <c r="V369" s="8">
        <v>0.0</v>
      </c>
      <c r="W369" s="17" t="str">
        <f t="shared" si="42"/>
        <v>Данные не заполены</v>
      </c>
      <c r="X369" s="14" t="str">
        <f t="shared" si="31"/>
        <v>Данные не заполены</v>
      </c>
      <c r="Y369" s="15">
        <f t="shared" si="43"/>
        <v>0</v>
      </c>
    </row>
    <row r="370" hidden="1">
      <c r="A370" s="7">
        <v>44126.323702037036</v>
      </c>
      <c r="B370" s="8" t="s">
        <v>94</v>
      </c>
      <c r="C370" s="8">
        <v>21928.0</v>
      </c>
      <c r="D370" s="8" t="s">
        <v>27</v>
      </c>
      <c r="E370" s="8" t="s">
        <v>101</v>
      </c>
      <c r="G370" s="8">
        <v>3804.0</v>
      </c>
      <c r="H370" s="8" t="s">
        <v>45</v>
      </c>
      <c r="K370" s="8" t="s">
        <v>52</v>
      </c>
      <c r="L370" s="8" t="s">
        <v>31</v>
      </c>
      <c r="M370" s="8" t="s">
        <v>34</v>
      </c>
      <c r="P370" s="9">
        <v>44125.0</v>
      </c>
      <c r="Q370" s="10">
        <v>0.03472222221898846</v>
      </c>
      <c r="R370" s="11" t="str">
        <f t="shared" si="1"/>
        <v>Настройка принтера Prim</v>
      </c>
      <c r="S370" s="16" t="str">
        <f>iferror(VLOOKUP(C370,'ФИО'!A:B,2,0),"учётный код не найден")</f>
        <v>Савченко Виктория Андреевна</v>
      </c>
      <c r="T370" s="13" t="str">
        <f t="shared" si="2"/>
        <v>М17V2 (900-00018.D)_910-00023.H и ПУ 910-00012.I</v>
      </c>
      <c r="U370" s="8">
        <v>0.0</v>
      </c>
      <c r="V370" s="8">
        <v>0.0</v>
      </c>
      <c r="W370" s="17" t="str">
        <f t="shared" si="42"/>
        <v>Данные не заполены</v>
      </c>
      <c r="X370" s="14" t="str">
        <f t="shared" si="31"/>
        <v>Данные не заполены</v>
      </c>
      <c r="Y370" s="15">
        <f t="shared" si="43"/>
        <v>0</v>
      </c>
    </row>
    <row r="371" hidden="1">
      <c r="A371" s="7">
        <v>44110.825523113424</v>
      </c>
      <c r="B371" s="8" t="s">
        <v>89</v>
      </c>
      <c r="C371" s="8">
        <v>60000.0</v>
      </c>
      <c r="D371" s="8" t="s">
        <v>69</v>
      </c>
      <c r="F371" s="8" t="s">
        <v>80</v>
      </c>
      <c r="G371" s="8">
        <v>3047.0</v>
      </c>
      <c r="H371" s="8" t="s">
        <v>29</v>
      </c>
      <c r="I371" s="8" t="s">
        <v>77</v>
      </c>
      <c r="L371" s="8" t="s">
        <v>31</v>
      </c>
      <c r="M371" s="8" t="s">
        <v>34</v>
      </c>
      <c r="N371" s="8"/>
      <c r="O371" s="8"/>
      <c r="P371" s="9">
        <v>44110.0</v>
      </c>
      <c r="Q371" s="10">
        <v>0.15138888888888888</v>
      </c>
      <c r="R371" s="11" t="str">
        <f t="shared" si="1"/>
        <v>Пайка компонентов SEC</v>
      </c>
      <c r="S371" s="12" t="str">
        <f>iferror(VLOOKUP(C371,'ФИО'!A:B,2,0),"учётный код не найден")</f>
        <v>THT</v>
      </c>
      <c r="T371" s="13" t="str">
        <f t="shared" si="2"/>
        <v>915-00081.A-Модуль Трик8 (Кибертех)</v>
      </c>
      <c r="U371" s="8">
        <v>102.0</v>
      </c>
      <c r="V371" s="8">
        <v>0.0</v>
      </c>
      <c r="W371" s="21" t="str">
        <f t="shared" si="42"/>
        <v>Данные не заполены</v>
      </c>
      <c r="X371" s="15" t="str">
        <f t="shared" si="31"/>
        <v>Данные не заполены</v>
      </c>
      <c r="Y371" s="15">
        <f t="shared" si="43"/>
        <v>0</v>
      </c>
    </row>
    <row r="372" hidden="1">
      <c r="A372" s="7">
        <v>44108.33003804398</v>
      </c>
      <c r="B372" s="8" t="s">
        <v>38</v>
      </c>
      <c r="C372" s="8">
        <v>21522.0</v>
      </c>
      <c r="D372" s="8" t="s">
        <v>69</v>
      </c>
      <c r="F372" s="8" t="s">
        <v>79</v>
      </c>
      <c r="G372" s="8">
        <v>3047.0</v>
      </c>
      <c r="H372" s="8" t="s">
        <v>29</v>
      </c>
      <c r="I372" s="8" t="s">
        <v>77</v>
      </c>
      <c r="L372" s="8" t="s">
        <v>31</v>
      </c>
      <c r="M372" s="8" t="s">
        <v>34</v>
      </c>
      <c r="N372" s="8"/>
      <c r="O372" s="8"/>
      <c r="P372" s="9">
        <v>44107.0</v>
      </c>
      <c r="Q372" s="10">
        <v>0.020833333335758653</v>
      </c>
      <c r="R372" s="11" t="str">
        <f t="shared" si="1"/>
        <v>Настройка SEHO SEC</v>
      </c>
      <c r="S372" s="16" t="str">
        <f>iferror(VLOOKUP(C372,'ФИО'!A:B,2,0),"учётный код не найден")</f>
        <v>Исаев Никита Дмитриевич</v>
      </c>
      <c r="T372" s="13" t="str">
        <f t="shared" si="2"/>
        <v>915-00081.A-Модуль Трик8 (Кибертех)</v>
      </c>
      <c r="U372" s="8">
        <v>0.0</v>
      </c>
      <c r="V372" s="8">
        <v>0.0</v>
      </c>
      <c r="W372" s="21" t="str">
        <f t="shared" si="42"/>
        <v>Данные не заполены</v>
      </c>
      <c r="X372" s="15" t="str">
        <f t="shared" si="31"/>
        <v>Данные не заполены</v>
      </c>
      <c r="Y372" s="15">
        <f t="shared" si="43"/>
        <v>0</v>
      </c>
    </row>
    <row r="373" hidden="1">
      <c r="A373" s="7">
        <v>44109.33073428241</v>
      </c>
      <c r="B373" s="8" t="s">
        <v>38</v>
      </c>
      <c r="C373" s="8">
        <v>21522.0</v>
      </c>
      <c r="D373" s="8" t="s">
        <v>69</v>
      </c>
      <c r="F373" s="8" t="s">
        <v>79</v>
      </c>
      <c r="G373" s="8">
        <v>3047.0</v>
      </c>
      <c r="H373" s="8" t="s">
        <v>29</v>
      </c>
      <c r="I373" s="8" t="s">
        <v>77</v>
      </c>
      <c r="L373" s="8" t="s">
        <v>37</v>
      </c>
      <c r="P373" s="9">
        <v>44108.0</v>
      </c>
      <c r="Q373" s="10">
        <v>0.020833333335758653</v>
      </c>
      <c r="R373" s="11" t="str">
        <f t="shared" si="1"/>
        <v>Настройка SEHO SEC</v>
      </c>
      <c r="S373" s="16" t="str">
        <f>iferror(VLOOKUP(C373,'ФИО'!A:B,2,0),"учётный код не найден")</f>
        <v>Исаев Никита Дмитриевич</v>
      </c>
      <c r="T373" s="13" t="str">
        <f t="shared" si="2"/>
        <v>915-00081.A-Модуль Трик8 (Кибертех)</v>
      </c>
      <c r="U373" s="8">
        <v>0.0</v>
      </c>
      <c r="V373" s="8">
        <v>0.0</v>
      </c>
      <c r="W373" s="21" t="str">
        <f t="shared" si="42"/>
        <v>Данные не заполены</v>
      </c>
      <c r="X373" s="15" t="str">
        <f t="shared" si="31"/>
        <v>Данные не заполены</v>
      </c>
      <c r="Y373" s="15">
        <f t="shared" si="43"/>
        <v>0</v>
      </c>
    </row>
    <row r="374" hidden="1">
      <c r="A374" s="7">
        <v>44130.31716828704</v>
      </c>
      <c r="B374" s="8" t="s">
        <v>76</v>
      </c>
      <c r="C374" s="8">
        <v>21852.0</v>
      </c>
      <c r="D374" s="8" t="s">
        <v>27</v>
      </c>
      <c r="E374" s="8" t="s">
        <v>101</v>
      </c>
      <c r="G374" s="8">
        <v>3793.0</v>
      </c>
      <c r="H374" s="8" t="s">
        <v>29</v>
      </c>
      <c r="I374" s="8" t="s">
        <v>163</v>
      </c>
      <c r="L374" s="8" t="s">
        <v>31</v>
      </c>
      <c r="M374" s="8" t="s">
        <v>34</v>
      </c>
      <c r="P374" s="9">
        <v>44129.0</v>
      </c>
      <c r="Q374" s="10">
        <v>0.013888888890505768</v>
      </c>
      <c r="R374" s="11" t="str">
        <f t="shared" si="1"/>
        <v>Настройка принтера Prim</v>
      </c>
      <c r="S374" s="12" t="str">
        <f>iferror(VLOOKUP(C374,'ФИО'!A:B,2,0),"учётный код не найден")</f>
        <v>Пономарев Юрий Андреевич</v>
      </c>
      <c r="T374" s="13" t="str">
        <f t="shared" si="2"/>
        <v>915-00068.A - uklsip(s)220_v3.01 (Гефест)</v>
      </c>
      <c r="U374" s="8">
        <v>1.0</v>
      </c>
      <c r="V374" s="8">
        <v>0.0</v>
      </c>
      <c r="W374" s="17">
        <v>33.0</v>
      </c>
      <c r="X374" s="14">
        <f t="shared" si="31"/>
        <v>0.9999999999</v>
      </c>
      <c r="Y374" s="15">
        <f t="shared" si="43"/>
        <v>0</v>
      </c>
    </row>
    <row r="375" hidden="1">
      <c r="A375" s="7">
        <v>44131.82717478009</v>
      </c>
      <c r="B375" s="8" t="s">
        <v>87</v>
      </c>
      <c r="C375" s="8">
        <v>21928.0</v>
      </c>
      <c r="D375" s="8" t="s">
        <v>27</v>
      </c>
      <c r="E375" s="8" t="s">
        <v>101</v>
      </c>
      <c r="G375" s="8">
        <v>3621.0</v>
      </c>
      <c r="H375" s="8" t="s">
        <v>29</v>
      </c>
      <c r="I375" s="8" t="s">
        <v>54</v>
      </c>
      <c r="L375" s="8" t="s">
        <v>31</v>
      </c>
      <c r="M375" s="8" t="s">
        <v>34</v>
      </c>
      <c r="P375" s="9">
        <v>44131.0</v>
      </c>
      <c r="Q375" s="10">
        <v>0.03472222221898846</v>
      </c>
      <c r="R375" s="11" t="str">
        <f t="shared" si="1"/>
        <v>Настройка принтера Prim</v>
      </c>
      <c r="S375" s="12" t="str">
        <f>iferror(VLOOKUP(C375,'ФИО'!A:B,2,0),"учётный код не найден")</f>
        <v>Савченко Виктория Андреевна</v>
      </c>
      <c r="T375" s="13" t="str">
        <f t="shared" si="2"/>
        <v>915-00121.A - Процессорный модуль РСЕН.469555.027 (КНС Групп)</v>
      </c>
      <c r="U375" s="8">
        <v>0.0</v>
      </c>
      <c r="V375" s="8">
        <v>0.0</v>
      </c>
      <c r="W375" s="17" t="str">
        <f t="shared" ref="W375:W381" si="44">IFERROR((((38412/(ifs(O375&lt;35,35,O375&gt;34,O375)/N375)*0.7))),"Данные не заполены")</f>
        <v>Данные не заполены</v>
      </c>
      <c r="X375" s="14" t="str">
        <f t="shared" si="31"/>
        <v>Данные не заполены</v>
      </c>
      <c r="Y375" s="15">
        <f t="shared" si="43"/>
        <v>0</v>
      </c>
    </row>
    <row r="376" hidden="1">
      <c r="A376" s="7">
        <v>44110.32755903935</v>
      </c>
      <c r="B376" s="8" t="s">
        <v>94</v>
      </c>
      <c r="C376" s="8">
        <v>21426.0</v>
      </c>
      <c r="D376" s="8" t="s">
        <v>27</v>
      </c>
      <c r="E376" s="8" t="s">
        <v>84</v>
      </c>
      <c r="G376" s="8">
        <v>3726.0</v>
      </c>
      <c r="H376" s="8" t="s">
        <v>45</v>
      </c>
      <c r="K376" s="8" t="s">
        <v>58</v>
      </c>
      <c r="L376" s="8" t="s">
        <v>31</v>
      </c>
      <c r="M376" s="8" t="s">
        <v>34</v>
      </c>
      <c r="N376" s="8"/>
      <c r="O376" s="8"/>
      <c r="P376" s="9">
        <v>44109.0</v>
      </c>
      <c r="Q376" s="10">
        <v>0.013888888890505768</v>
      </c>
      <c r="R376" s="11" t="str">
        <f t="shared" si="1"/>
        <v>Настройка принтера Sec</v>
      </c>
      <c r="S376" s="16" t="str">
        <f>iferror(VLOOKUP(C376,'ФИО'!A:B,2,0),"учётный код не найден")</f>
        <v>Скибинский Антон Германович</v>
      </c>
      <c r="T376" s="13" t="str">
        <f t="shared" si="2"/>
        <v>ПУ метки i95</v>
      </c>
      <c r="U376" s="8">
        <v>1.0</v>
      </c>
      <c r="V376" s="8">
        <v>0.0</v>
      </c>
      <c r="W376" s="21" t="str">
        <f t="shared" si="44"/>
        <v>Данные не заполены</v>
      </c>
      <c r="X376" s="15" t="str">
        <f t="shared" si="31"/>
        <v>Данные не заполены</v>
      </c>
      <c r="Y376" s="15">
        <f t="shared" si="43"/>
        <v>0</v>
      </c>
    </row>
    <row r="377" hidden="1">
      <c r="A377" s="7">
        <v>44111.34802726852</v>
      </c>
      <c r="B377" s="8" t="s">
        <v>89</v>
      </c>
      <c r="C377" s="8">
        <v>20693.0</v>
      </c>
      <c r="D377" s="8" t="s">
        <v>27</v>
      </c>
      <c r="E377" s="8" t="s">
        <v>84</v>
      </c>
      <c r="G377" s="8">
        <v>3234.0</v>
      </c>
      <c r="H377" s="8" t="s">
        <v>29</v>
      </c>
      <c r="I377" s="8" t="s">
        <v>135</v>
      </c>
      <c r="L377" s="8" t="s">
        <v>31</v>
      </c>
      <c r="M377" s="8" t="s">
        <v>34</v>
      </c>
      <c r="N377" s="8"/>
      <c r="O377" s="8"/>
      <c r="P377" s="9">
        <v>44110.0</v>
      </c>
      <c r="Q377" s="10">
        <v>0.027777777781011537</v>
      </c>
      <c r="R377" s="11" t="str">
        <f t="shared" si="1"/>
        <v>Настройка принтера Sec</v>
      </c>
      <c r="S377" s="16" t="str">
        <f>iferror(VLOOKUP(C377,'ФИО'!A:B,2,0),"учётный код не найден")</f>
        <v>Аникина Раиса Владимировна</v>
      </c>
      <c r="T377" s="13" t="str">
        <f t="shared" si="2"/>
        <v>915-00101.A - ПКД-9В АСЛБ.467249.107 (Квант)</v>
      </c>
      <c r="U377" s="8">
        <v>1.0</v>
      </c>
      <c r="V377" s="8">
        <v>0.0</v>
      </c>
      <c r="W377" s="21" t="str">
        <f t="shared" si="44"/>
        <v>Данные не заполены</v>
      </c>
      <c r="X377" s="15" t="str">
        <f t="shared" si="31"/>
        <v>Данные не заполены</v>
      </c>
      <c r="Y377" s="15">
        <f t="shared" si="43"/>
        <v>0</v>
      </c>
    </row>
    <row r="378" hidden="1">
      <c r="A378" s="7">
        <v>44118.31531657407</v>
      </c>
      <c r="B378" s="8" t="s">
        <v>94</v>
      </c>
      <c r="C378" s="8">
        <v>20985.0</v>
      </c>
      <c r="D378" s="8" t="s">
        <v>27</v>
      </c>
      <c r="E378" s="8" t="s">
        <v>84</v>
      </c>
      <c r="G378" s="8">
        <v>3622.0</v>
      </c>
      <c r="H378" s="8" t="s">
        <v>29</v>
      </c>
      <c r="I378" s="8" t="s">
        <v>90</v>
      </c>
      <c r="L378" s="8" t="s">
        <v>31</v>
      </c>
      <c r="M378" s="8" t="s">
        <v>34</v>
      </c>
      <c r="P378" s="9">
        <v>44117.0</v>
      </c>
      <c r="Q378" s="10">
        <v>0.07291666666424135</v>
      </c>
      <c r="R378" s="11" t="str">
        <f t="shared" si="1"/>
        <v>Настройка принтера Sec</v>
      </c>
      <c r="S378" s="16" t="str">
        <f>iferror(VLOOKUP(C378,'ФИО'!A:B,2,0),"учётный код не найден")</f>
        <v>Никонорова Наталия Владимировна</v>
      </c>
      <c r="T378" s="13" t="str">
        <f t="shared" si="2"/>
        <v>915-00124.A - Tioga Pass_v1.1 (Гагар.ин)</v>
      </c>
      <c r="U378" s="8">
        <v>0.0</v>
      </c>
      <c r="V378" s="8">
        <v>0.0</v>
      </c>
      <c r="W378" s="17" t="str">
        <f t="shared" si="44"/>
        <v>Данные не заполены</v>
      </c>
      <c r="X378" s="14" t="str">
        <f t="shared" si="31"/>
        <v>Данные не заполены</v>
      </c>
      <c r="Y378" s="15">
        <f t="shared" si="43"/>
        <v>0</v>
      </c>
    </row>
    <row r="379" hidden="1">
      <c r="A379" s="7">
        <v>44111.289059386574</v>
      </c>
      <c r="B379" s="8" t="s">
        <v>94</v>
      </c>
      <c r="C379" s="8">
        <v>22575.0</v>
      </c>
      <c r="D379" s="8" t="s">
        <v>27</v>
      </c>
      <c r="E379" s="8" t="s">
        <v>39</v>
      </c>
      <c r="G379" s="8">
        <v>3580.0</v>
      </c>
      <c r="H379" s="8" t="s">
        <v>29</v>
      </c>
      <c r="I379" s="8" t="s">
        <v>145</v>
      </c>
      <c r="L379" s="8" t="s">
        <v>31</v>
      </c>
      <c r="M379" s="8" t="s">
        <v>34</v>
      </c>
      <c r="N379" s="8"/>
      <c r="O379" s="8"/>
      <c r="P379" s="9">
        <v>44110.0</v>
      </c>
      <c r="Q379" s="10">
        <v>0.01736111110949423</v>
      </c>
      <c r="R379" s="11" t="str">
        <f t="shared" si="1"/>
        <v>Зарядка питателей Prim</v>
      </c>
      <c r="S379" s="16" t="str">
        <f>iferror(VLOOKUP(C379,'ФИО'!A:B,2,0),"учётный код не найден")</f>
        <v>Куликов Виктор Алексеевич</v>
      </c>
      <c r="T379" s="13" t="str">
        <f t="shared" si="2"/>
        <v>XR (OÜ KLARBERG)</v>
      </c>
      <c r="U379" s="8">
        <v>25.0</v>
      </c>
      <c r="V379" s="8">
        <v>0.0</v>
      </c>
      <c r="W379" s="21" t="str">
        <f t="shared" si="44"/>
        <v>Данные не заполены</v>
      </c>
      <c r="X379" s="15" t="str">
        <f t="shared" si="31"/>
        <v>Данные не заполены</v>
      </c>
      <c r="Y379" s="15">
        <f t="shared" si="43"/>
        <v>0</v>
      </c>
    </row>
    <row r="380" hidden="1">
      <c r="A380" s="7">
        <v>44127.31354831019</v>
      </c>
      <c r="B380" s="8" t="s">
        <v>94</v>
      </c>
      <c r="C380" s="8">
        <v>20985.0</v>
      </c>
      <c r="D380" s="8" t="s">
        <v>27</v>
      </c>
      <c r="E380" s="8" t="s">
        <v>84</v>
      </c>
      <c r="G380" s="8">
        <v>3804.0</v>
      </c>
      <c r="H380" s="8" t="s">
        <v>45</v>
      </c>
      <c r="K380" s="8" t="s">
        <v>52</v>
      </c>
      <c r="L380" s="8" t="s">
        <v>31</v>
      </c>
      <c r="M380" s="8" t="s">
        <v>34</v>
      </c>
      <c r="P380" s="9">
        <v>44126.0</v>
      </c>
      <c r="Q380" s="10">
        <v>0.08333333333575865</v>
      </c>
      <c r="R380" s="11" t="str">
        <f t="shared" si="1"/>
        <v>Настройка принтера Sec</v>
      </c>
      <c r="S380" s="16" t="str">
        <f>iferror(VLOOKUP(C380,'ФИО'!A:B,2,0),"учётный код не найден")</f>
        <v>Никонорова Наталия Владимировна</v>
      </c>
      <c r="T380" s="13" t="str">
        <f t="shared" si="2"/>
        <v>М17V2 (900-00018.D)_910-00023.H и ПУ 910-00012.I</v>
      </c>
      <c r="U380" s="8">
        <v>0.0</v>
      </c>
      <c r="V380" s="8">
        <v>0.0</v>
      </c>
      <c r="W380" s="17" t="str">
        <f t="shared" si="44"/>
        <v>Данные не заполены</v>
      </c>
      <c r="X380" s="14" t="str">
        <f t="shared" si="31"/>
        <v>Данные не заполены</v>
      </c>
      <c r="Y380" s="15">
        <f t="shared" si="43"/>
        <v>0</v>
      </c>
    </row>
    <row r="381" hidden="1">
      <c r="A381" s="7">
        <v>44131.32044497685</v>
      </c>
      <c r="B381" s="8" t="s">
        <v>76</v>
      </c>
      <c r="C381" s="8">
        <v>21954.0</v>
      </c>
      <c r="D381" s="8" t="s">
        <v>27</v>
      </c>
      <c r="E381" s="8" t="s">
        <v>84</v>
      </c>
      <c r="G381" s="8">
        <v>3793.0</v>
      </c>
      <c r="H381" s="8" t="s">
        <v>29</v>
      </c>
      <c r="I381" s="8" t="s">
        <v>163</v>
      </c>
      <c r="L381" s="8" t="s">
        <v>31</v>
      </c>
      <c r="M381" s="8" t="s">
        <v>34</v>
      </c>
      <c r="P381" s="9">
        <v>44130.0</v>
      </c>
      <c r="Q381" s="10">
        <v>0.013888888890505768</v>
      </c>
      <c r="R381" s="11" t="str">
        <f t="shared" si="1"/>
        <v>Настройка принтера Sec</v>
      </c>
      <c r="S381" s="12" t="str">
        <f>iferror(VLOOKUP(C381,'ФИО'!A:B,2,0),"учётный код не найден")</f>
        <v>Александров Александр Викторович</v>
      </c>
      <c r="T381" s="13" t="str">
        <f t="shared" si="2"/>
        <v>915-00068.A - uklsip(s)220_v3.01 (Гефест)</v>
      </c>
      <c r="U381" s="8">
        <v>1.0</v>
      </c>
      <c r="V381" s="8">
        <v>0.0</v>
      </c>
      <c r="W381" s="17" t="str">
        <f t="shared" si="44"/>
        <v>Данные не заполены</v>
      </c>
      <c r="X381" s="14" t="str">
        <f t="shared" si="31"/>
        <v>Данные не заполены</v>
      </c>
      <c r="Y381" s="15">
        <f t="shared" si="43"/>
        <v>0</v>
      </c>
    </row>
    <row r="382" hidden="1">
      <c r="A382" s="7">
        <v>44130.30246826389</v>
      </c>
      <c r="B382" s="8" t="s">
        <v>76</v>
      </c>
      <c r="C382" s="8">
        <v>22011.0</v>
      </c>
      <c r="D382" s="8" t="s">
        <v>27</v>
      </c>
      <c r="E382" s="8" t="s">
        <v>166</v>
      </c>
      <c r="G382" s="8">
        <v>3237.0</v>
      </c>
      <c r="H382" s="8" t="s">
        <v>29</v>
      </c>
      <c r="I382" s="8" t="s">
        <v>56</v>
      </c>
      <c r="L382" s="8" t="s">
        <v>31</v>
      </c>
      <c r="M382" s="8" t="s">
        <v>34</v>
      </c>
      <c r="P382" s="9">
        <v>44129.0</v>
      </c>
      <c r="Q382" s="10">
        <v>0.04166666666424135</v>
      </c>
      <c r="R382" s="11" t="str">
        <f t="shared" si="1"/>
        <v>Настройка треев</v>
      </c>
      <c r="S382" s="12" t="str">
        <f>iferror(VLOOKUP(C382,'ФИО'!A:B,2,0),"учётный код не найден")</f>
        <v>Сергеев Алексей Андреевич</v>
      </c>
      <c r="T382" s="13" t="str">
        <f t="shared" si="2"/>
        <v>915-00098.А - ПКБУИК-38 АСЛБ.465122.020 (Квант)</v>
      </c>
      <c r="U382" s="8">
        <v>9.0</v>
      </c>
      <c r="V382" s="8">
        <v>0.0</v>
      </c>
      <c r="W382" s="17">
        <v>100.0</v>
      </c>
      <c r="X382" s="14">
        <f t="shared" si="31"/>
        <v>0.9900000001</v>
      </c>
      <c r="Y382" s="15">
        <f t="shared" si="43"/>
        <v>0</v>
      </c>
    </row>
    <row r="383" hidden="1">
      <c r="A383" s="7">
        <v>44130.30765853009</v>
      </c>
      <c r="B383" s="8" t="s">
        <v>76</v>
      </c>
      <c r="C383" s="8">
        <v>21954.0</v>
      </c>
      <c r="D383" s="8" t="s">
        <v>27</v>
      </c>
      <c r="E383" s="8" t="s">
        <v>166</v>
      </c>
      <c r="G383" s="8">
        <v>3237.0</v>
      </c>
      <c r="H383" s="8" t="s">
        <v>29</v>
      </c>
      <c r="I383" s="8" t="s">
        <v>56</v>
      </c>
      <c r="L383" s="8" t="s">
        <v>31</v>
      </c>
      <c r="M383" s="8" t="s">
        <v>34</v>
      </c>
      <c r="P383" s="9">
        <v>44129.0</v>
      </c>
      <c r="Q383" s="10">
        <v>0.04166666666424135</v>
      </c>
      <c r="R383" s="11" t="str">
        <f t="shared" si="1"/>
        <v>Настройка треев</v>
      </c>
      <c r="S383" s="12" t="str">
        <f>iferror(VLOOKUP(C383,'ФИО'!A:B,2,0),"учётный код не найден")</f>
        <v>Александров Александр Викторович</v>
      </c>
      <c r="T383" s="13" t="str">
        <f t="shared" si="2"/>
        <v>915-00098.А - ПКБУИК-38 АСЛБ.465122.020 (Квант)</v>
      </c>
      <c r="U383" s="8">
        <v>9.0</v>
      </c>
      <c r="V383" s="8">
        <v>0.0</v>
      </c>
      <c r="W383" s="17" t="str">
        <f t="shared" ref="W383:W403" si="45">IFERROR((((38412/(ifs(O383&lt;35,35,O383&gt;34,O383)/N383)*0.7))),"Данные не заполены")</f>
        <v>Данные не заполены</v>
      </c>
      <c r="X383" s="14" t="str">
        <f t="shared" si="31"/>
        <v>Данные не заполены</v>
      </c>
      <c r="Y383" s="15">
        <f t="shared" si="43"/>
        <v>0</v>
      </c>
    </row>
    <row r="384" hidden="1">
      <c r="A384" s="7">
        <v>44106.82907366898</v>
      </c>
      <c r="B384" s="8" t="s">
        <v>87</v>
      </c>
      <c r="C384" s="8">
        <v>21426.0</v>
      </c>
      <c r="D384" s="8" t="s">
        <v>27</v>
      </c>
      <c r="E384" s="8" t="s">
        <v>82</v>
      </c>
      <c r="G384" s="8">
        <v>3579.0</v>
      </c>
      <c r="H384" s="8" t="s">
        <v>29</v>
      </c>
      <c r="I384" s="8" t="s">
        <v>42</v>
      </c>
      <c r="L384" s="8" t="s">
        <v>31</v>
      </c>
      <c r="M384" s="8" t="s">
        <v>34</v>
      </c>
      <c r="N384" s="8"/>
      <c r="O384" s="8"/>
      <c r="P384" s="9">
        <v>44106.0</v>
      </c>
      <c r="Q384" s="10">
        <v>0.013888888890505768</v>
      </c>
      <c r="R384" s="13" t="str">
        <f t="shared" si="1"/>
        <v>Настройка установщиков</v>
      </c>
      <c r="S384" s="16" t="str">
        <f>iferror(VLOOKUP(C384,'ФИО'!A:B,2,0),"учётный код не найден")</f>
        <v>Скибинский Антон Германович</v>
      </c>
      <c r="T384" s="13" t="str">
        <f t="shared" si="2"/>
        <v>915-00070.A - Модуль телематики ТМ1 v3 (Сознательные машины)</v>
      </c>
      <c r="U384" s="8">
        <v>0.0</v>
      </c>
      <c r="V384" s="8">
        <v>0.0</v>
      </c>
      <c r="W384" s="21" t="str">
        <f t="shared" si="45"/>
        <v>Данные не заполены</v>
      </c>
      <c r="X384" s="15" t="str">
        <f t="shared" si="31"/>
        <v>Данные не заполены</v>
      </c>
      <c r="Y384" s="15">
        <f t="shared" si="43"/>
        <v>0</v>
      </c>
    </row>
    <row r="385" hidden="1">
      <c r="A385" s="7">
        <v>44111.31012310185</v>
      </c>
      <c r="B385" s="8" t="s">
        <v>94</v>
      </c>
      <c r="C385" s="8">
        <v>22575.0</v>
      </c>
      <c r="D385" s="8" t="s">
        <v>27</v>
      </c>
      <c r="E385" s="8" t="s">
        <v>121</v>
      </c>
      <c r="G385" s="8">
        <v>3580.0</v>
      </c>
      <c r="H385" s="8" t="s">
        <v>29</v>
      </c>
      <c r="I385" s="8" t="s">
        <v>145</v>
      </c>
      <c r="L385" s="8" t="s">
        <v>31</v>
      </c>
      <c r="M385" s="8" t="s">
        <v>34</v>
      </c>
      <c r="N385" s="8"/>
      <c r="O385" s="8"/>
      <c r="P385" s="9">
        <v>44110.0</v>
      </c>
      <c r="Q385" s="10">
        <v>0.0034722222189884633</v>
      </c>
      <c r="R385" s="11" t="str">
        <f t="shared" si="1"/>
        <v>Настройка линии Secondary</v>
      </c>
      <c r="S385" s="16" t="str">
        <f>iferror(VLOOKUP(C385,'ФИО'!A:B,2,0),"учётный код не найден")</f>
        <v>Куликов Виктор Алексеевич</v>
      </c>
      <c r="T385" s="13" t="str">
        <f t="shared" si="2"/>
        <v>XR (OÜ KLARBERG)</v>
      </c>
      <c r="U385" s="8">
        <v>0.0</v>
      </c>
      <c r="V385" s="8">
        <v>0.0</v>
      </c>
      <c r="W385" s="21" t="str">
        <f t="shared" si="45"/>
        <v>Данные не заполены</v>
      </c>
      <c r="X385" s="15" t="str">
        <f t="shared" si="31"/>
        <v>Данные не заполены</v>
      </c>
      <c r="Y385" s="15">
        <f t="shared" si="43"/>
        <v>0</v>
      </c>
    </row>
    <row r="386" hidden="1">
      <c r="A386" s="7">
        <v>44107.323988125005</v>
      </c>
      <c r="B386" s="8" t="s">
        <v>76</v>
      </c>
      <c r="C386" s="8">
        <v>21852.0</v>
      </c>
      <c r="D386" s="8" t="s">
        <v>27</v>
      </c>
      <c r="E386" s="8" t="s">
        <v>82</v>
      </c>
      <c r="G386" s="8">
        <v>3579.0</v>
      </c>
      <c r="H386" s="8" t="s">
        <v>29</v>
      </c>
      <c r="I386" s="8" t="s">
        <v>42</v>
      </c>
      <c r="L386" s="8" t="s">
        <v>31</v>
      </c>
      <c r="M386" s="8" t="s">
        <v>34</v>
      </c>
      <c r="N386" s="8"/>
      <c r="O386" s="8"/>
      <c r="P386" s="9">
        <v>44106.0</v>
      </c>
      <c r="Q386" s="10">
        <v>0.04166666666424135</v>
      </c>
      <c r="R386" s="13" t="str">
        <f t="shared" si="1"/>
        <v>Настройка установщиков</v>
      </c>
      <c r="S386" s="16" t="str">
        <f>iferror(VLOOKUP(C386,'ФИО'!A:B,2,0),"учётный код не найден")</f>
        <v>Пономарев Юрий Андреевич</v>
      </c>
      <c r="T386" s="13" t="str">
        <f t="shared" si="2"/>
        <v>915-00070.A - Модуль телематики ТМ1 v3 (Сознательные машины)</v>
      </c>
      <c r="U386" s="8">
        <v>2.0</v>
      </c>
      <c r="V386" s="8">
        <v>0.0</v>
      </c>
      <c r="W386" s="21" t="str">
        <f t="shared" si="45"/>
        <v>Данные не заполены</v>
      </c>
      <c r="X386" s="15" t="str">
        <f t="shared" si="31"/>
        <v>Данные не заполены</v>
      </c>
      <c r="Y386" s="15">
        <f t="shared" si="43"/>
        <v>0</v>
      </c>
    </row>
    <row r="387" hidden="1">
      <c r="A387" s="7">
        <v>44111.33025206019</v>
      </c>
      <c r="B387" s="8" t="s">
        <v>94</v>
      </c>
      <c r="C387" s="8">
        <v>22575.0</v>
      </c>
      <c r="D387" s="8" t="s">
        <v>27</v>
      </c>
      <c r="E387" s="8" t="s">
        <v>67</v>
      </c>
      <c r="G387" s="8">
        <v>3580.0</v>
      </c>
      <c r="H387" s="8" t="s">
        <v>29</v>
      </c>
      <c r="I387" s="8" t="s">
        <v>145</v>
      </c>
      <c r="L387" s="8" t="s">
        <v>37</v>
      </c>
      <c r="P387" s="9">
        <v>44110.0</v>
      </c>
      <c r="Q387" s="10">
        <v>0.16666666666424135</v>
      </c>
      <c r="R387" s="11" t="str">
        <f t="shared" si="1"/>
        <v>Сборка на линии Prim</v>
      </c>
      <c r="S387" s="16" t="str">
        <f>iferror(VLOOKUP(C387,'ФИО'!A:B,2,0),"учётный код не найден")</f>
        <v>Куликов Виктор Алексеевич</v>
      </c>
      <c r="T387" s="13" t="str">
        <f t="shared" si="2"/>
        <v>XR (OÜ KLARBERG)</v>
      </c>
      <c r="U387" s="8">
        <v>0.0</v>
      </c>
      <c r="V387" s="8">
        <v>0.0</v>
      </c>
      <c r="W387" s="21" t="str">
        <f t="shared" si="45"/>
        <v>Данные не заполены</v>
      </c>
      <c r="X387" s="15" t="str">
        <f t="shared" si="31"/>
        <v>Данные не заполены</v>
      </c>
      <c r="Y387" s="15">
        <f t="shared" si="43"/>
        <v>0</v>
      </c>
    </row>
    <row r="388" hidden="1">
      <c r="A388" s="7">
        <v>44111.82637170139</v>
      </c>
      <c r="B388" s="8" t="s">
        <v>89</v>
      </c>
      <c r="C388" s="8">
        <v>50000.0</v>
      </c>
      <c r="D388" s="8" t="s">
        <v>27</v>
      </c>
      <c r="E388" s="8" t="s">
        <v>67</v>
      </c>
      <c r="G388" s="8">
        <v>3580.0</v>
      </c>
      <c r="H388" s="8" t="s">
        <v>29</v>
      </c>
      <c r="I388" s="8" t="s">
        <v>146</v>
      </c>
      <c r="L388" s="8" t="s">
        <v>37</v>
      </c>
      <c r="P388" s="9">
        <v>44111.0</v>
      </c>
      <c r="Q388" s="10">
        <v>0.16666666666666666</v>
      </c>
      <c r="R388" s="11" t="str">
        <f t="shared" si="1"/>
        <v>Сборка на линии Prim</v>
      </c>
      <c r="S388" s="16" t="str">
        <f>iferror(VLOOKUP(C388,'ФИО'!A:B,2,0),"учётный код не найден")</f>
        <v>SMT</v>
      </c>
      <c r="T388" s="13" t="str">
        <f t="shared" si="2"/>
        <v>XR (Термотроник)</v>
      </c>
      <c r="U388" s="8">
        <v>1140.0</v>
      </c>
      <c r="V388" s="8">
        <v>0.0</v>
      </c>
      <c r="W388" s="21" t="str">
        <f t="shared" si="45"/>
        <v>Данные не заполены</v>
      </c>
      <c r="X388" s="15" t="str">
        <f t="shared" si="31"/>
        <v>Данные не заполены</v>
      </c>
      <c r="Y388" s="15">
        <f t="shared" si="43"/>
        <v>0</v>
      </c>
      <c r="Z388" s="8" t="s">
        <v>167</v>
      </c>
    </row>
    <row r="389" hidden="1">
      <c r="A389" s="7">
        <v>44110.8319212037</v>
      </c>
      <c r="B389" s="8" t="s">
        <v>89</v>
      </c>
      <c r="C389" s="8">
        <v>21852.0</v>
      </c>
      <c r="D389" s="8" t="s">
        <v>27</v>
      </c>
      <c r="E389" s="8" t="s">
        <v>82</v>
      </c>
      <c r="G389" s="8">
        <v>3234.0</v>
      </c>
      <c r="H389" s="8" t="s">
        <v>29</v>
      </c>
      <c r="I389" s="8" t="s">
        <v>135</v>
      </c>
      <c r="L389" s="8" t="s">
        <v>31</v>
      </c>
      <c r="M389" s="8" t="s">
        <v>34</v>
      </c>
      <c r="N389" s="8"/>
      <c r="O389" s="8"/>
      <c r="P389" s="9">
        <v>44110.0</v>
      </c>
      <c r="Q389" s="10">
        <v>0.04166666666424135</v>
      </c>
      <c r="R389" s="11" t="str">
        <f t="shared" si="1"/>
        <v>Настройка установщиков</v>
      </c>
      <c r="S389" s="16" t="str">
        <f>iferror(VLOOKUP(C389,'ФИО'!A:B,2,0),"учётный код не найден")</f>
        <v>Пономарев Юрий Андреевич</v>
      </c>
      <c r="T389" s="13" t="str">
        <f t="shared" si="2"/>
        <v>915-00101.A - ПКД-9В АСЛБ.467249.107 (Квант)</v>
      </c>
      <c r="U389" s="8">
        <v>2.0</v>
      </c>
      <c r="V389" s="8">
        <v>0.0</v>
      </c>
      <c r="W389" s="21" t="str">
        <f t="shared" si="45"/>
        <v>Данные не заполены</v>
      </c>
      <c r="X389" s="15" t="str">
        <f t="shared" si="31"/>
        <v>Данные не заполены</v>
      </c>
      <c r="Y389" s="15">
        <f t="shared" si="43"/>
        <v>0</v>
      </c>
    </row>
    <row r="390" hidden="1">
      <c r="A390" s="7">
        <v>44111.274321261575</v>
      </c>
      <c r="B390" s="8" t="s">
        <v>94</v>
      </c>
      <c r="C390" s="8">
        <v>22131.0</v>
      </c>
      <c r="D390" s="8" t="s">
        <v>27</v>
      </c>
      <c r="E390" s="8" t="s">
        <v>82</v>
      </c>
      <c r="G390" s="8">
        <v>3580.0</v>
      </c>
      <c r="H390" s="8" t="s">
        <v>29</v>
      </c>
      <c r="I390" s="8" t="s">
        <v>145</v>
      </c>
      <c r="L390" s="8" t="s">
        <v>31</v>
      </c>
      <c r="M390" s="8" t="s">
        <v>34</v>
      </c>
      <c r="N390" s="8"/>
      <c r="O390" s="8"/>
      <c r="P390" s="9">
        <v>44110.0</v>
      </c>
      <c r="Q390" s="10">
        <v>0.04166666666424135</v>
      </c>
      <c r="R390" s="11" t="str">
        <f t="shared" si="1"/>
        <v>Настройка установщиков</v>
      </c>
      <c r="S390" s="16" t="str">
        <f>iferror(VLOOKUP(C390,'ФИО'!A:B,2,0),"учётный код не найден")</f>
        <v>Стосик Степан Владимирович</v>
      </c>
      <c r="T390" s="13" t="str">
        <f t="shared" si="2"/>
        <v>XR (OÜ KLARBERG)</v>
      </c>
      <c r="U390" s="8">
        <v>2.0</v>
      </c>
      <c r="V390" s="8">
        <v>0.0</v>
      </c>
      <c r="W390" s="21" t="str">
        <f t="shared" si="45"/>
        <v>Данные не заполены</v>
      </c>
      <c r="X390" s="15" t="str">
        <f t="shared" si="31"/>
        <v>Данные не заполены</v>
      </c>
      <c r="Y390" s="15">
        <f t="shared" si="43"/>
        <v>0</v>
      </c>
    </row>
    <row r="391" hidden="1">
      <c r="A391" s="7">
        <v>44118.315774999995</v>
      </c>
      <c r="B391" s="8" t="s">
        <v>94</v>
      </c>
      <c r="C391" s="8">
        <v>20985.0</v>
      </c>
      <c r="D391" s="8" t="s">
        <v>27</v>
      </c>
      <c r="E391" s="8" t="s">
        <v>82</v>
      </c>
      <c r="G391" s="8">
        <v>3622.0</v>
      </c>
      <c r="H391" s="8" t="s">
        <v>29</v>
      </c>
      <c r="I391" s="8" t="s">
        <v>90</v>
      </c>
      <c r="L391" s="8" t="s">
        <v>31</v>
      </c>
      <c r="M391" s="8" t="s">
        <v>34</v>
      </c>
      <c r="P391" s="9">
        <v>44117.0</v>
      </c>
      <c r="Q391" s="10">
        <v>0.07291666666424135</v>
      </c>
      <c r="R391" s="11" t="str">
        <f t="shared" si="1"/>
        <v>Настройка установщиков</v>
      </c>
      <c r="S391" s="16" t="str">
        <f>iferror(VLOOKUP(C391,'ФИО'!A:B,2,0),"учётный код не найден")</f>
        <v>Никонорова Наталия Владимировна</v>
      </c>
      <c r="T391" s="13" t="str">
        <f t="shared" si="2"/>
        <v>915-00124.A - Tioga Pass_v1.1 (Гагар.ин)</v>
      </c>
      <c r="U391" s="8">
        <v>0.0</v>
      </c>
      <c r="V391" s="8">
        <v>0.0</v>
      </c>
      <c r="W391" s="17" t="str">
        <f t="shared" si="45"/>
        <v>Данные не заполены</v>
      </c>
      <c r="X391" s="14" t="str">
        <f t="shared" si="31"/>
        <v>Данные не заполены</v>
      </c>
      <c r="Y391" s="15">
        <f t="shared" si="43"/>
        <v>0</v>
      </c>
    </row>
    <row r="392" hidden="1">
      <c r="A392" s="7">
        <v>44114.81992152778</v>
      </c>
      <c r="B392" s="8" t="s">
        <v>87</v>
      </c>
      <c r="C392" s="8">
        <v>22575.0</v>
      </c>
      <c r="D392" s="8" t="s">
        <v>27</v>
      </c>
      <c r="E392" s="8" t="s">
        <v>66</v>
      </c>
      <c r="G392" s="8">
        <v>3750.0</v>
      </c>
      <c r="H392" s="8" t="s">
        <v>45</v>
      </c>
      <c r="K392" s="8" t="s">
        <v>46</v>
      </c>
      <c r="L392" s="8" t="s">
        <v>31</v>
      </c>
      <c r="M392" s="8" t="s">
        <v>34</v>
      </c>
      <c r="N392" s="8"/>
      <c r="O392" s="8"/>
      <c r="P392" s="9">
        <v>44114.0</v>
      </c>
      <c r="Q392" s="10">
        <v>0.020833333335758653</v>
      </c>
      <c r="R392" s="11" t="str">
        <f t="shared" si="1"/>
        <v>Проверка первой платы до оплавления</v>
      </c>
      <c r="S392" s="16" t="str">
        <f>iferror(VLOOKUP(C392,'ФИО'!A:B,2,0),"учётный код не найден")</f>
        <v>Куликов Виктор Алексеевич</v>
      </c>
      <c r="T392" s="13" t="str">
        <f t="shared" si="2"/>
        <v>ПУ 910-00349.A "Печатный узел основного блока E96 4LIN"</v>
      </c>
      <c r="U392" s="8">
        <v>0.0</v>
      </c>
      <c r="V392" s="8">
        <v>0.0</v>
      </c>
      <c r="W392" s="21" t="str">
        <f t="shared" si="45"/>
        <v>Данные не заполены</v>
      </c>
      <c r="X392" s="15" t="str">
        <f t="shared" si="31"/>
        <v>Данные не заполены</v>
      </c>
      <c r="Y392" s="15">
        <f t="shared" si="43"/>
        <v>0</v>
      </c>
      <c r="Z392" s="8"/>
    </row>
    <row r="393" hidden="1">
      <c r="A393" s="7">
        <v>44118.83356557871</v>
      </c>
      <c r="B393" s="8" t="s">
        <v>89</v>
      </c>
      <c r="C393" s="8">
        <v>22011.0</v>
      </c>
      <c r="D393" s="8" t="s">
        <v>27</v>
      </c>
      <c r="E393" s="8" t="s">
        <v>82</v>
      </c>
      <c r="G393" s="8">
        <v>3622.0</v>
      </c>
      <c r="H393" s="8" t="s">
        <v>29</v>
      </c>
      <c r="I393" s="8" t="s">
        <v>90</v>
      </c>
      <c r="L393" s="8" t="s">
        <v>31</v>
      </c>
      <c r="M393" s="8" t="s">
        <v>34</v>
      </c>
      <c r="P393" s="9">
        <v>44118.0</v>
      </c>
      <c r="Q393" s="10">
        <v>0.08333333333575865</v>
      </c>
      <c r="R393" s="11" t="str">
        <f t="shared" si="1"/>
        <v>Настройка установщиков</v>
      </c>
      <c r="S393" s="16" t="str">
        <f>iferror(VLOOKUP(C393,'ФИО'!A:B,2,0),"учётный код не найден")</f>
        <v>Сергеев Алексей Андреевич</v>
      </c>
      <c r="T393" s="13" t="str">
        <f t="shared" si="2"/>
        <v>915-00124.A - Tioga Pass_v1.1 (Гагар.ин)</v>
      </c>
      <c r="U393" s="8">
        <v>4.0</v>
      </c>
      <c r="V393" s="8">
        <v>0.0</v>
      </c>
      <c r="W393" s="17" t="str">
        <f t="shared" si="45"/>
        <v>Данные не заполены</v>
      </c>
      <c r="X393" s="14" t="str">
        <f t="shared" si="31"/>
        <v>Данные не заполены</v>
      </c>
      <c r="Y393" s="15">
        <f t="shared" si="43"/>
        <v>0</v>
      </c>
    </row>
    <row r="394" hidden="1">
      <c r="A394" s="7">
        <v>44119.321084675925</v>
      </c>
      <c r="B394" s="8" t="s">
        <v>94</v>
      </c>
      <c r="C394" s="8">
        <v>21426.0</v>
      </c>
      <c r="D394" s="8" t="s">
        <v>27</v>
      </c>
      <c r="E394" s="8" t="s">
        <v>82</v>
      </c>
      <c r="G394" s="8">
        <v>3622.0</v>
      </c>
      <c r="H394" s="8" t="s">
        <v>29</v>
      </c>
      <c r="I394" s="8" t="s">
        <v>90</v>
      </c>
      <c r="L394" s="8" t="s">
        <v>31</v>
      </c>
      <c r="M394" s="8" t="s">
        <v>34</v>
      </c>
      <c r="P394" s="9">
        <v>44118.0</v>
      </c>
      <c r="Q394" s="10">
        <v>0.04166666666424135</v>
      </c>
      <c r="R394" s="11" t="str">
        <f t="shared" si="1"/>
        <v>Настройка установщиков</v>
      </c>
      <c r="S394" s="16" t="str">
        <f>iferror(VLOOKUP(C394,'ФИО'!A:B,2,0),"учётный код не найден")</f>
        <v>Скибинский Антон Германович</v>
      </c>
      <c r="T394" s="13" t="str">
        <f t="shared" si="2"/>
        <v>915-00124.A - Tioga Pass_v1.1 (Гагар.ин)</v>
      </c>
      <c r="U394" s="8">
        <v>0.0</v>
      </c>
      <c r="V394" s="8">
        <v>0.0</v>
      </c>
      <c r="W394" s="17" t="str">
        <f t="shared" si="45"/>
        <v>Данные не заполены</v>
      </c>
      <c r="X394" s="14" t="str">
        <f t="shared" si="31"/>
        <v>Данные не заполены</v>
      </c>
      <c r="Y394" s="15">
        <f t="shared" si="43"/>
        <v>0</v>
      </c>
    </row>
    <row r="395" hidden="1">
      <c r="A395" s="7">
        <v>44114.821259027776</v>
      </c>
      <c r="B395" s="8" t="s">
        <v>87</v>
      </c>
      <c r="C395" s="8">
        <v>22575.0</v>
      </c>
      <c r="D395" s="8" t="s">
        <v>27</v>
      </c>
      <c r="E395" s="8" t="s">
        <v>101</v>
      </c>
      <c r="G395" s="8">
        <v>3750.0</v>
      </c>
      <c r="H395" s="8" t="s">
        <v>45</v>
      </c>
      <c r="K395" s="8" t="s">
        <v>46</v>
      </c>
      <c r="L395" s="8" t="s">
        <v>31</v>
      </c>
      <c r="M395" s="8" t="s">
        <v>34</v>
      </c>
      <c r="N395" s="8"/>
      <c r="O395" s="8"/>
      <c r="P395" s="9">
        <v>44114.0</v>
      </c>
      <c r="Q395" s="10">
        <v>0.013888888890505768</v>
      </c>
      <c r="R395" s="11" t="str">
        <f t="shared" si="1"/>
        <v>Настройка принтера Prim</v>
      </c>
      <c r="S395" s="16" t="str">
        <f>iferror(VLOOKUP(C395,'ФИО'!A:B,2,0),"учётный код не найден")</f>
        <v>Куликов Виктор Алексеевич</v>
      </c>
      <c r="T395" s="13" t="str">
        <f t="shared" si="2"/>
        <v>ПУ 910-00349.A "Печатный узел основного блока E96 4LIN"</v>
      </c>
      <c r="U395" s="8">
        <v>0.0</v>
      </c>
      <c r="V395" s="8">
        <v>0.0</v>
      </c>
      <c r="W395" s="21" t="str">
        <f t="shared" si="45"/>
        <v>Данные не заполены</v>
      </c>
      <c r="X395" s="15" t="str">
        <f t="shared" si="31"/>
        <v>Данные не заполены</v>
      </c>
      <c r="Y395" s="15">
        <f t="shared" si="43"/>
        <v>0</v>
      </c>
    </row>
    <row r="396" hidden="1">
      <c r="A396" s="7">
        <v>44133.33847246528</v>
      </c>
      <c r="B396" s="8" t="s">
        <v>127</v>
      </c>
      <c r="C396" s="8">
        <v>20849.0</v>
      </c>
      <c r="D396" s="8" t="s">
        <v>27</v>
      </c>
      <c r="E396" s="8" t="s">
        <v>68</v>
      </c>
      <c r="L396" s="8" t="s">
        <v>31</v>
      </c>
      <c r="M396" s="8" t="s">
        <v>34</v>
      </c>
      <c r="P396" s="9">
        <v>44132.0</v>
      </c>
      <c r="Q396" s="10">
        <v>0.08333333333575865</v>
      </c>
      <c r="R396" s="11" t="str">
        <f t="shared" si="1"/>
        <v>Прохождение обучения</v>
      </c>
      <c r="S396" s="16" t="str">
        <f>iferror(VLOOKUP(C396,'ФИО'!A:B,2,0),"учётный код не найден")</f>
        <v>Шилоносов Максим Евгеньевич</v>
      </c>
      <c r="T396" s="11" t="str">
        <f t="shared" si="2"/>
        <v/>
      </c>
      <c r="W396" s="17" t="str">
        <f t="shared" si="45"/>
        <v>Данные не заполены</v>
      </c>
      <c r="X396" s="14" t="str">
        <f t="shared" si="31"/>
        <v>Данные не заполены</v>
      </c>
      <c r="Y396" s="15">
        <f t="shared" si="43"/>
        <v>0</v>
      </c>
    </row>
    <row r="397" hidden="1">
      <c r="A397" s="7">
        <v>44121.33235474537</v>
      </c>
      <c r="B397" s="8" t="s">
        <v>126</v>
      </c>
      <c r="C397" s="8">
        <v>21852.0</v>
      </c>
      <c r="D397" s="8" t="s">
        <v>27</v>
      </c>
      <c r="E397" s="8" t="s">
        <v>39</v>
      </c>
      <c r="G397" s="8">
        <v>3754.0</v>
      </c>
      <c r="H397" s="8" t="s">
        <v>45</v>
      </c>
      <c r="K397" s="8" t="s">
        <v>119</v>
      </c>
      <c r="L397" s="8" t="s">
        <v>31</v>
      </c>
      <c r="M397" s="8" t="s">
        <v>34</v>
      </c>
      <c r="P397" s="9">
        <v>44120.0</v>
      </c>
      <c r="Q397" s="10">
        <v>0.020833333335758653</v>
      </c>
      <c r="R397" s="11" t="str">
        <f t="shared" si="1"/>
        <v>Зарядка питателей Prim</v>
      </c>
      <c r="S397" s="16" t="str">
        <f>iferror(VLOOKUP(C397,'ФИО'!A:B,2,0),"учётный код не найден")</f>
        <v>Пономарев Юрий Андреевич</v>
      </c>
      <c r="T397" s="13" t="str">
        <f t="shared" si="2"/>
        <v>ПУ 910-00134.B (A96 модуль 2CAN+2LIN)</v>
      </c>
      <c r="U397" s="8">
        <v>30.0</v>
      </c>
      <c r="V397" s="8">
        <v>0.0</v>
      </c>
      <c r="W397" s="17" t="str">
        <f t="shared" si="45"/>
        <v>Данные не заполены</v>
      </c>
      <c r="X397" s="14" t="str">
        <f t="shared" si="31"/>
        <v>Данные не заполены</v>
      </c>
      <c r="Y397" s="15">
        <f t="shared" si="43"/>
        <v>0</v>
      </c>
    </row>
    <row r="398" hidden="1">
      <c r="A398" s="7">
        <v>44125.37572457176</v>
      </c>
      <c r="B398" s="8" t="s">
        <v>127</v>
      </c>
      <c r="C398" s="8">
        <v>20849.0</v>
      </c>
      <c r="D398" s="8" t="s">
        <v>27</v>
      </c>
      <c r="E398" s="8" t="s">
        <v>168</v>
      </c>
      <c r="G398" s="8">
        <v>3621.0</v>
      </c>
      <c r="H398" s="8" t="s">
        <v>29</v>
      </c>
      <c r="I398" s="8" t="s">
        <v>30</v>
      </c>
      <c r="L398" s="8" t="s">
        <v>31</v>
      </c>
      <c r="M398" s="8" t="s">
        <v>34</v>
      </c>
      <c r="P398" s="9">
        <v>44124.0</v>
      </c>
      <c r="Q398" s="10">
        <v>0.25</v>
      </c>
      <c r="R398" s="11" t="str">
        <f t="shared" si="1"/>
        <v>Создание программы для NPM</v>
      </c>
      <c r="S398" s="16" t="str">
        <f>iferror(VLOOKUP(C398,'ФИО'!A:B,2,0),"учётный код не найден")</f>
        <v>Шилоносов Максим Евгеньевич</v>
      </c>
      <c r="T398" s="11" t="str">
        <f t="shared" si="2"/>
        <v>915-00121.A - Процессорный модуль РСЕН.469555.027 (КНС Групп) в ТС</v>
      </c>
      <c r="U398" s="8">
        <v>0.0</v>
      </c>
      <c r="V398" s="8">
        <v>0.0</v>
      </c>
      <c r="W398" s="17" t="str">
        <f t="shared" si="45"/>
        <v>Данные не заполены</v>
      </c>
      <c r="X398" s="14" t="str">
        <f t="shared" si="31"/>
        <v>Данные не заполены</v>
      </c>
      <c r="Y398" s="15">
        <f t="shared" si="43"/>
        <v>0</v>
      </c>
    </row>
    <row r="399" hidden="1">
      <c r="A399" s="7">
        <v>44131.7614991088</v>
      </c>
      <c r="B399" s="8" t="s">
        <v>87</v>
      </c>
      <c r="C399" s="8">
        <v>20015.0</v>
      </c>
      <c r="D399" s="8" t="s">
        <v>69</v>
      </c>
      <c r="F399" s="8" t="s">
        <v>164</v>
      </c>
      <c r="G399" s="8">
        <v>3237.0</v>
      </c>
      <c r="H399" s="8" t="s">
        <v>29</v>
      </c>
      <c r="I399" s="8" t="s">
        <v>56</v>
      </c>
      <c r="L399" s="8" t="s">
        <v>31</v>
      </c>
      <c r="M399" s="8" t="s">
        <v>34</v>
      </c>
      <c r="P399" s="9">
        <v>44131.0</v>
      </c>
      <c r="Q399" s="10">
        <v>0.0625</v>
      </c>
      <c r="R399" s="11" t="str">
        <f t="shared" si="1"/>
        <v>Написание программы для АОИ PRI</v>
      </c>
      <c r="S399" s="12" t="str">
        <f>iferror(VLOOKUP(C399,'ФИО'!A:B,2,0),"учётный код не найден")</f>
        <v>Ельцов Андрей Николаевич</v>
      </c>
      <c r="T399" s="13" t="str">
        <f t="shared" si="2"/>
        <v>915-00098.А - ПКБУИК-38 АСЛБ.465122.020 (Квант)</v>
      </c>
      <c r="U399" s="8">
        <v>0.0</v>
      </c>
      <c r="V399" s="8">
        <v>0.0</v>
      </c>
      <c r="W399" s="17" t="str">
        <f t="shared" si="45"/>
        <v>Данные не заполены</v>
      </c>
      <c r="X399" s="14" t="str">
        <f t="shared" si="31"/>
        <v>Данные не заполены</v>
      </c>
      <c r="Y399" s="15">
        <f t="shared" si="43"/>
        <v>0</v>
      </c>
    </row>
    <row r="400" hidden="1">
      <c r="A400" s="7">
        <v>44125.82547299768</v>
      </c>
      <c r="B400" s="8" t="s">
        <v>127</v>
      </c>
      <c r="C400" s="8">
        <v>20849.0</v>
      </c>
      <c r="D400" s="8" t="s">
        <v>27</v>
      </c>
      <c r="E400" s="8" t="s">
        <v>168</v>
      </c>
      <c r="G400" s="8">
        <v>3621.0</v>
      </c>
      <c r="H400" s="8" t="s">
        <v>29</v>
      </c>
      <c r="I400" s="8" t="s">
        <v>54</v>
      </c>
      <c r="L400" s="8" t="s">
        <v>31</v>
      </c>
      <c r="M400" s="8" t="s">
        <v>34</v>
      </c>
      <c r="P400" s="9">
        <v>44125.0</v>
      </c>
      <c r="Q400" s="10">
        <v>0.22916666666424135</v>
      </c>
      <c r="R400" s="11" t="str">
        <f t="shared" si="1"/>
        <v>Создание программы для NPM</v>
      </c>
      <c r="S400" s="16" t="str">
        <f>iferror(VLOOKUP(C400,'ФИО'!A:B,2,0),"учётный код не найден")</f>
        <v>Шилоносов Максим Евгеньевич</v>
      </c>
      <c r="T400" s="11" t="str">
        <f t="shared" si="2"/>
        <v>915-00121.A - Процессорный модуль РСЕН.469555.027 (КНС Групп)</v>
      </c>
      <c r="U400" s="8">
        <v>0.0</v>
      </c>
      <c r="V400" s="8">
        <v>0.0</v>
      </c>
      <c r="W400" s="17" t="str">
        <f t="shared" si="45"/>
        <v>Данные не заполены</v>
      </c>
      <c r="X400" s="14" t="str">
        <f t="shared" si="31"/>
        <v>Данные не заполены</v>
      </c>
      <c r="Y400" s="15">
        <f t="shared" si="43"/>
        <v>0</v>
      </c>
    </row>
    <row r="401" hidden="1">
      <c r="A401" s="7">
        <v>44112.79446752315</v>
      </c>
      <c r="B401" s="8" t="s">
        <v>26</v>
      </c>
      <c r="C401" s="8">
        <v>20015.0</v>
      </c>
      <c r="D401" s="8" t="s">
        <v>69</v>
      </c>
      <c r="F401" s="8" t="s">
        <v>164</v>
      </c>
      <c r="G401" s="8">
        <v>3234.0</v>
      </c>
      <c r="H401" s="8" t="s">
        <v>29</v>
      </c>
      <c r="I401" s="8" t="s">
        <v>135</v>
      </c>
      <c r="L401" s="8" t="s">
        <v>31</v>
      </c>
      <c r="M401" s="8" t="s">
        <v>34</v>
      </c>
      <c r="N401" s="8"/>
      <c r="O401" s="8"/>
      <c r="P401" s="9">
        <v>44112.0</v>
      </c>
      <c r="Q401" s="10">
        <v>0.20833333333575865</v>
      </c>
      <c r="R401" s="11" t="str">
        <f t="shared" si="1"/>
        <v>Написание программы для АОИ PRI</v>
      </c>
      <c r="S401" s="16" t="str">
        <f>iferror(VLOOKUP(C401,'ФИО'!A:B,2,0),"учётный код не найден")</f>
        <v>Ельцов Андрей Николаевич</v>
      </c>
      <c r="T401" s="13" t="str">
        <f t="shared" si="2"/>
        <v>915-00101.A - ПКД-9В АСЛБ.467249.107 (Квант)</v>
      </c>
      <c r="U401" s="8">
        <v>0.0</v>
      </c>
      <c r="V401" s="8">
        <v>0.0</v>
      </c>
      <c r="W401" s="21" t="str">
        <f t="shared" si="45"/>
        <v>Данные не заполены</v>
      </c>
      <c r="X401" s="15" t="str">
        <f t="shared" si="31"/>
        <v>Данные не заполены</v>
      </c>
      <c r="Y401" s="15">
        <f t="shared" si="43"/>
        <v>0</v>
      </c>
    </row>
    <row r="402" hidden="1">
      <c r="A402" s="7">
        <v>44133.33952684028</v>
      </c>
      <c r="B402" s="8" t="s">
        <v>127</v>
      </c>
      <c r="C402" s="8">
        <v>20849.0</v>
      </c>
      <c r="D402" s="8" t="s">
        <v>27</v>
      </c>
      <c r="E402" s="8" t="s">
        <v>168</v>
      </c>
      <c r="G402" s="8">
        <v>3802.0</v>
      </c>
      <c r="H402" s="8" t="s">
        <v>45</v>
      </c>
      <c r="K402" s="8" t="s">
        <v>120</v>
      </c>
      <c r="L402" s="8" t="s">
        <v>31</v>
      </c>
      <c r="M402" s="8" t="s">
        <v>34</v>
      </c>
      <c r="P402" s="9">
        <v>44132.0</v>
      </c>
      <c r="Q402" s="10">
        <v>0.16666666666424135</v>
      </c>
      <c r="R402" s="11" t="str">
        <f t="shared" si="1"/>
        <v>Создание программы для NPM</v>
      </c>
      <c r="S402" s="16" t="str">
        <f>iferror(VLOOKUP(C402,'ФИО'!A:B,2,0),"учётный код не найден")</f>
        <v>Шилоносов Максим Евгеньевич</v>
      </c>
      <c r="T402" s="11" t="str">
        <f t="shared" si="2"/>
        <v>М15ECO (900-00030.С) 910-00034.C/910-00041.C</v>
      </c>
      <c r="U402" s="8">
        <v>0.0</v>
      </c>
      <c r="V402" s="8">
        <v>0.0</v>
      </c>
      <c r="W402" s="17" t="str">
        <f t="shared" si="45"/>
        <v>Данные не заполены</v>
      </c>
      <c r="X402" s="14" t="str">
        <f t="shared" si="31"/>
        <v>Данные не заполены</v>
      </c>
      <c r="Y402" s="15">
        <f t="shared" si="43"/>
        <v>0</v>
      </c>
    </row>
    <row r="403" hidden="1">
      <c r="A403" s="7">
        <v>44137.31951736111</v>
      </c>
      <c r="B403" s="8" t="s">
        <v>126</v>
      </c>
      <c r="C403" s="8">
        <v>20849.0</v>
      </c>
      <c r="D403" s="8" t="s">
        <v>27</v>
      </c>
      <c r="E403" s="8" t="s">
        <v>67</v>
      </c>
      <c r="G403" s="8">
        <v>3778.0</v>
      </c>
      <c r="H403" s="8" t="s">
        <v>45</v>
      </c>
      <c r="K403" s="8" t="s">
        <v>46</v>
      </c>
      <c r="L403" s="8" t="s">
        <v>37</v>
      </c>
      <c r="P403" s="9">
        <v>44136.0</v>
      </c>
      <c r="Q403" s="10">
        <v>0.45833333333575865</v>
      </c>
      <c r="R403" s="11" t="str">
        <f t="shared" si="1"/>
        <v>Сборка на линии Prim</v>
      </c>
      <c r="S403" s="16" t="str">
        <f>iferror(VLOOKUP(C403,'ФИО'!A:B,2,0),"учётный код не найден")</f>
        <v>Шилоносов Максим Евгеньевич</v>
      </c>
      <c r="T403" s="11" t="str">
        <f t="shared" si="2"/>
        <v>ПУ 910-00349.A "Печатный узел основного блока E96 4LIN"</v>
      </c>
      <c r="U403" s="8">
        <v>0.0</v>
      </c>
      <c r="V403" s="8">
        <v>0.0</v>
      </c>
      <c r="W403" s="17" t="str">
        <f t="shared" si="45"/>
        <v>Данные не заполены</v>
      </c>
      <c r="X403" s="14" t="str">
        <f t="shared" si="31"/>
        <v>Данные не заполены</v>
      </c>
      <c r="Y403" s="15">
        <f t="shared" si="43"/>
        <v>0</v>
      </c>
    </row>
    <row r="404" hidden="1">
      <c r="A404" s="7">
        <v>44123.77746560185</v>
      </c>
      <c r="B404" s="8" t="s">
        <v>126</v>
      </c>
      <c r="C404" s="8">
        <v>21426.0</v>
      </c>
      <c r="D404" s="8" t="s">
        <v>27</v>
      </c>
      <c r="E404" s="8" t="s">
        <v>40</v>
      </c>
      <c r="G404" s="8">
        <v>3754.0</v>
      </c>
      <c r="H404" s="8" t="s">
        <v>45</v>
      </c>
      <c r="K404" s="8" t="s">
        <v>124</v>
      </c>
      <c r="L404" s="8" t="s">
        <v>31</v>
      </c>
      <c r="M404" s="8" t="s">
        <v>34</v>
      </c>
      <c r="P404" s="9">
        <v>44123.0</v>
      </c>
      <c r="Q404" s="10">
        <v>0.010416666664241347</v>
      </c>
      <c r="R404" s="11" t="str">
        <f t="shared" si="1"/>
        <v>Зарядка питателей Sec</v>
      </c>
      <c r="S404" s="16" t="str">
        <f>iferror(VLOOKUP(C404,'ФИО'!A:B,2,0),"учётный код не найден")</f>
        <v>Скибинский Антон Германович</v>
      </c>
      <c r="T404" s="13" t="str">
        <f t="shared" si="2"/>
        <v>ПУ 910-00120.D - Печатный узел модуля 2CAN+LIN</v>
      </c>
      <c r="U404" s="8">
        <v>17.0</v>
      </c>
      <c r="V404" s="8">
        <v>0.0</v>
      </c>
      <c r="W404" s="8">
        <v>660.0</v>
      </c>
      <c r="X404" s="14">
        <f t="shared" si="31"/>
        <v>1.133333334</v>
      </c>
      <c r="Y404" s="15">
        <f t="shared" si="43"/>
        <v>0</v>
      </c>
    </row>
    <row r="405" hidden="1">
      <c r="A405" s="7">
        <v>44117.35772431713</v>
      </c>
      <c r="B405" s="8" t="s">
        <v>127</v>
      </c>
      <c r="C405" s="8">
        <v>21927.0</v>
      </c>
      <c r="D405" s="8" t="s">
        <v>27</v>
      </c>
      <c r="E405" s="8" t="s">
        <v>51</v>
      </c>
      <c r="G405" s="8">
        <v>3750.0</v>
      </c>
      <c r="H405" s="8" t="s">
        <v>45</v>
      </c>
      <c r="K405" s="8" t="s">
        <v>46</v>
      </c>
      <c r="L405" s="8" t="s">
        <v>37</v>
      </c>
      <c r="P405" s="9">
        <v>44116.0</v>
      </c>
      <c r="Q405" s="10">
        <v>0.14583333333575865</v>
      </c>
      <c r="R405" s="11" t="str">
        <f t="shared" si="1"/>
        <v>Внутрисхемное тестирование ICT</v>
      </c>
      <c r="S405" s="16" t="str">
        <f>iferror(VLOOKUP(C405,'ФИО'!A:B,2,0),"учётный код не найден")</f>
        <v>Шергин Родион Олегович</v>
      </c>
      <c r="T405" s="11" t="str">
        <f t="shared" si="2"/>
        <v>ПУ 910-00349.A "Печатный узел основного блока E96 4LIN"</v>
      </c>
      <c r="U405" s="8">
        <v>88.0</v>
      </c>
      <c r="V405" s="8">
        <v>0.0</v>
      </c>
      <c r="W405" s="17" t="str">
        <f t="shared" ref="W405:W410" si="46">IFERROR((((38412/(ifs(O405&lt;35,35,O405&gt;34,O405)/N405)*0.7))),"Данные не заполены")</f>
        <v>Данные не заполены</v>
      </c>
      <c r="X405" s="14" t="str">
        <f t="shared" si="31"/>
        <v>Данные не заполены</v>
      </c>
      <c r="Y405" s="15">
        <f t="shared" si="43"/>
        <v>0</v>
      </c>
    </row>
    <row r="406" hidden="1">
      <c r="A406" s="7">
        <v>44121.82580899306</v>
      </c>
      <c r="B406" s="8" t="s">
        <v>26</v>
      </c>
      <c r="C406" s="8">
        <v>21475.0</v>
      </c>
      <c r="D406" s="8" t="s">
        <v>69</v>
      </c>
      <c r="F406" s="8" t="s">
        <v>106</v>
      </c>
      <c r="G406" s="8">
        <v>3750.0</v>
      </c>
      <c r="H406" s="8" t="s">
        <v>45</v>
      </c>
      <c r="K406" s="8" t="s">
        <v>46</v>
      </c>
      <c r="L406" s="8" t="s">
        <v>31</v>
      </c>
      <c r="M406" s="8" t="s">
        <v>34</v>
      </c>
      <c r="P406" s="9">
        <v>44121.0</v>
      </c>
      <c r="Q406" s="10">
        <v>0.04166666666424135</v>
      </c>
      <c r="R406" s="11" t="str">
        <f t="shared" si="1"/>
        <v>Настройка SEHO PRI</v>
      </c>
      <c r="S406" s="16" t="str">
        <f>iferror(VLOOKUP(C406,'ФИО'!A:B,2,0),"учётный код не найден")</f>
        <v>Байрамашвили Альберт Зурабович</v>
      </c>
      <c r="T406" s="13" t="str">
        <f t="shared" si="2"/>
        <v>ПУ 910-00349.A "Печатный узел основного блока E96 4LIN"</v>
      </c>
      <c r="U406" s="8">
        <v>0.0</v>
      </c>
      <c r="V406" s="8">
        <v>0.0</v>
      </c>
      <c r="W406" s="17" t="str">
        <f t="shared" si="46"/>
        <v>Данные не заполены</v>
      </c>
      <c r="X406" s="14" t="str">
        <f t="shared" si="31"/>
        <v>Данные не заполены</v>
      </c>
      <c r="Y406" s="15">
        <f t="shared" si="43"/>
        <v>0</v>
      </c>
    </row>
    <row r="407" hidden="1">
      <c r="A407" s="7">
        <v>44113.82661013889</v>
      </c>
      <c r="B407" s="8" t="s">
        <v>26</v>
      </c>
      <c r="C407" s="8">
        <v>21475.0</v>
      </c>
      <c r="D407" s="8" t="s">
        <v>69</v>
      </c>
      <c r="F407" s="8" t="s">
        <v>169</v>
      </c>
      <c r="G407" s="8">
        <v>3750.0</v>
      </c>
      <c r="H407" s="8" t="s">
        <v>45</v>
      </c>
      <c r="K407" s="8" t="s">
        <v>46</v>
      </c>
      <c r="L407" s="8" t="s">
        <v>31</v>
      </c>
      <c r="M407" s="8" t="s">
        <v>34</v>
      </c>
      <c r="N407" s="8"/>
      <c r="O407" s="8"/>
      <c r="P407" s="9">
        <v>44113.0</v>
      </c>
      <c r="Q407" s="10">
        <v>0.05555555555555555</v>
      </c>
      <c r="R407" s="11" t="str">
        <f t="shared" si="1"/>
        <v>Отладка программы</v>
      </c>
      <c r="S407" s="16" t="str">
        <f>iferror(VLOOKUP(C407,'ФИО'!A:B,2,0),"учётный код не найден")</f>
        <v>Байрамашвили Альберт Зурабович</v>
      </c>
      <c r="T407" s="13" t="str">
        <f t="shared" si="2"/>
        <v>ПУ 910-00349.A "Печатный узел основного блока E96 4LIN"</v>
      </c>
      <c r="U407" s="8">
        <v>0.0</v>
      </c>
      <c r="V407" s="8">
        <v>0.0</v>
      </c>
      <c r="W407" s="21" t="str">
        <f t="shared" si="46"/>
        <v>Данные не заполены</v>
      </c>
      <c r="X407" s="15" t="str">
        <f t="shared" si="31"/>
        <v>Данные не заполены</v>
      </c>
      <c r="Y407" s="15">
        <f t="shared" si="43"/>
        <v>0</v>
      </c>
    </row>
    <row r="408" hidden="1">
      <c r="A408" s="7">
        <v>44120.81917065972</v>
      </c>
      <c r="B408" s="8" t="s">
        <v>26</v>
      </c>
      <c r="C408" s="8">
        <v>21803.0</v>
      </c>
      <c r="D408" s="8" t="s">
        <v>69</v>
      </c>
      <c r="F408" s="8" t="s">
        <v>106</v>
      </c>
      <c r="G408" s="8">
        <v>3750.0</v>
      </c>
      <c r="H408" s="8" t="s">
        <v>45</v>
      </c>
      <c r="K408" s="8" t="s">
        <v>46</v>
      </c>
      <c r="L408" s="8" t="s">
        <v>31</v>
      </c>
      <c r="M408" s="8" t="s">
        <v>34</v>
      </c>
      <c r="P408" s="9">
        <v>44120.0</v>
      </c>
      <c r="Q408" s="10">
        <v>0.020833333335758653</v>
      </c>
      <c r="R408" s="11" t="str">
        <f t="shared" si="1"/>
        <v>Настройка SEHO PRI</v>
      </c>
      <c r="S408" s="16" t="str">
        <f>iferror(VLOOKUP(C408,'ФИО'!A:B,2,0),"учётный код не найден")</f>
        <v>Белоглазова Виктория Сергеевна</v>
      </c>
      <c r="T408" s="13" t="str">
        <f t="shared" si="2"/>
        <v>ПУ 910-00349.A "Печатный узел основного блока E96 4LIN"</v>
      </c>
      <c r="U408" s="8">
        <v>0.0</v>
      </c>
      <c r="V408" s="8">
        <v>0.0</v>
      </c>
      <c r="W408" s="17" t="str">
        <f t="shared" si="46"/>
        <v>Данные не заполены</v>
      </c>
      <c r="X408" s="14" t="str">
        <f t="shared" si="31"/>
        <v>Данные не заполены</v>
      </c>
      <c r="Y408" s="15">
        <f t="shared" si="43"/>
        <v>0</v>
      </c>
    </row>
    <row r="409" hidden="1">
      <c r="A409" s="7">
        <v>44121.82584563657</v>
      </c>
      <c r="B409" s="8" t="s">
        <v>26</v>
      </c>
      <c r="C409" s="8">
        <v>21803.0</v>
      </c>
      <c r="D409" s="8" t="s">
        <v>69</v>
      </c>
      <c r="F409" s="8" t="s">
        <v>106</v>
      </c>
      <c r="G409" s="8">
        <v>3579.0</v>
      </c>
      <c r="H409" s="8" t="s">
        <v>29</v>
      </c>
      <c r="I409" s="8" t="s">
        <v>42</v>
      </c>
      <c r="L409" s="8" t="s">
        <v>31</v>
      </c>
      <c r="M409" s="8" t="s">
        <v>34</v>
      </c>
      <c r="P409" s="9">
        <v>44121.0</v>
      </c>
      <c r="Q409" s="10">
        <v>0.020833333335758653</v>
      </c>
      <c r="R409" s="11" t="str">
        <f t="shared" si="1"/>
        <v>Настройка SEHO PRI</v>
      </c>
      <c r="S409" s="16" t="str">
        <f>iferror(VLOOKUP(C409,'ФИО'!A:B,2,0),"учётный код не найден")</f>
        <v>Белоглазова Виктория Сергеевна</v>
      </c>
      <c r="T409" s="13" t="str">
        <f t="shared" si="2"/>
        <v>915-00070.A - Модуль телематики ТМ1 v3 (Сознательные машины)</v>
      </c>
      <c r="U409" s="8">
        <v>0.0</v>
      </c>
      <c r="V409" s="8">
        <v>0.0</v>
      </c>
      <c r="W409" s="17" t="str">
        <f t="shared" si="46"/>
        <v>Данные не заполены</v>
      </c>
      <c r="X409" s="14" t="str">
        <f t="shared" si="31"/>
        <v>Данные не заполены</v>
      </c>
      <c r="Y409" s="15">
        <f t="shared" si="43"/>
        <v>0</v>
      </c>
    </row>
    <row r="410" hidden="1">
      <c r="A410" s="7">
        <v>44121.82714114583</v>
      </c>
      <c r="B410" s="8" t="s">
        <v>26</v>
      </c>
      <c r="C410" s="8">
        <v>21803.0</v>
      </c>
      <c r="D410" s="8" t="s">
        <v>69</v>
      </c>
      <c r="F410" s="8" t="s">
        <v>106</v>
      </c>
      <c r="G410" s="8">
        <v>3750.0</v>
      </c>
      <c r="H410" s="8" t="s">
        <v>45</v>
      </c>
      <c r="K410" s="8" t="s">
        <v>46</v>
      </c>
      <c r="L410" s="8" t="s">
        <v>31</v>
      </c>
      <c r="M410" s="8"/>
      <c r="P410" s="9">
        <v>44121.0</v>
      </c>
      <c r="Q410" s="10">
        <v>0.08333333333575865</v>
      </c>
      <c r="R410" s="11" t="str">
        <f t="shared" si="1"/>
        <v>Настройка SEHO PRI</v>
      </c>
      <c r="S410" s="16" t="str">
        <f>iferror(VLOOKUP(C410,'ФИО'!A:B,2,0),"учётный код не найден")</f>
        <v>Белоглазова Виктория Сергеевна</v>
      </c>
      <c r="T410" s="13" t="str">
        <f t="shared" si="2"/>
        <v>ПУ 910-00349.A "Печатный узел основного блока E96 4LIN"</v>
      </c>
      <c r="U410" s="8">
        <v>0.0</v>
      </c>
      <c r="V410" s="8">
        <v>0.0</v>
      </c>
      <c r="W410" s="17" t="str">
        <f t="shared" si="46"/>
        <v>Данные не заполены</v>
      </c>
      <c r="X410" s="14" t="str">
        <f t="shared" si="31"/>
        <v>Данные не заполены</v>
      </c>
      <c r="Y410" s="15">
        <f t="shared" si="43"/>
        <v>0</v>
      </c>
      <c r="Z410" s="8" t="s">
        <v>170</v>
      </c>
    </row>
    <row r="411" hidden="1">
      <c r="A411" s="7">
        <v>44124.291684895834</v>
      </c>
      <c r="B411" s="8" t="s">
        <v>38</v>
      </c>
      <c r="C411" s="8">
        <v>21803.0</v>
      </c>
      <c r="D411" s="8" t="s">
        <v>69</v>
      </c>
      <c r="F411" s="8" t="s">
        <v>106</v>
      </c>
      <c r="G411" s="8">
        <v>3750.0</v>
      </c>
      <c r="H411" s="8" t="s">
        <v>45</v>
      </c>
      <c r="K411" s="8" t="s">
        <v>46</v>
      </c>
      <c r="L411" s="8" t="s">
        <v>31</v>
      </c>
      <c r="M411" s="8" t="s">
        <v>34</v>
      </c>
      <c r="P411" s="9">
        <v>44123.0</v>
      </c>
      <c r="Q411" s="10">
        <v>0.04166666666424135</v>
      </c>
      <c r="R411" s="11" t="str">
        <f t="shared" si="1"/>
        <v>Настройка SEHO PRI</v>
      </c>
      <c r="S411" s="16" t="str">
        <f>iferror(VLOOKUP(C411,'ФИО'!A:B,2,0),"учётный код не найден")</f>
        <v>Белоглазова Виктория Сергеевна</v>
      </c>
      <c r="T411" s="13" t="str">
        <f t="shared" si="2"/>
        <v>ПУ 910-00349.A "Печатный узел основного блока E96 4LIN"</v>
      </c>
      <c r="U411" s="8">
        <v>0.0</v>
      </c>
      <c r="V411" s="8">
        <v>0.0</v>
      </c>
      <c r="X411" s="14" t="str">
        <f t="shared" si="31"/>
        <v>Данные не заполены</v>
      </c>
      <c r="Y411" s="15">
        <f t="shared" si="43"/>
        <v>0</v>
      </c>
    </row>
    <row r="412" hidden="1">
      <c r="A412" s="7">
        <v>44128.82835094907</v>
      </c>
      <c r="B412" s="8" t="s">
        <v>26</v>
      </c>
      <c r="C412" s="8">
        <v>21803.0</v>
      </c>
      <c r="D412" s="8" t="s">
        <v>69</v>
      </c>
      <c r="F412" s="8" t="s">
        <v>104</v>
      </c>
      <c r="L412" s="8" t="s">
        <v>31</v>
      </c>
      <c r="M412" s="8" t="s">
        <v>171</v>
      </c>
      <c r="P412" s="9">
        <v>44128.0</v>
      </c>
      <c r="Q412" s="10">
        <v>0.33333333333575865</v>
      </c>
      <c r="R412" s="11" t="str">
        <f t="shared" si="1"/>
        <v>Обучение</v>
      </c>
      <c r="S412" s="16" t="str">
        <f>iferror(VLOOKUP(C412,'ФИО'!A:B,2,0),"учётный код не найден")</f>
        <v>Белоглазова Виктория Сергеевна</v>
      </c>
      <c r="T412" s="13" t="str">
        <f t="shared" si="2"/>
        <v/>
      </c>
      <c r="X412" s="14" t="str">
        <f t="shared" si="31"/>
        <v>Данные не заполены</v>
      </c>
      <c r="Y412" s="15">
        <f t="shared" si="43"/>
        <v>0</v>
      </c>
    </row>
    <row r="413" hidden="1">
      <c r="A413" s="7">
        <v>44124.29307783565</v>
      </c>
      <c r="B413" s="8" t="s">
        <v>38</v>
      </c>
      <c r="C413" s="8">
        <v>21803.0</v>
      </c>
      <c r="D413" s="8" t="s">
        <v>69</v>
      </c>
      <c r="F413" s="8" t="s">
        <v>172</v>
      </c>
      <c r="L413" s="8" t="s">
        <v>31</v>
      </c>
      <c r="M413" s="8" t="s">
        <v>34</v>
      </c>
      <c r="P413" s="9">
        <v>44123.0</v>
      </c>
      <c r="Q413" s="10">
        <v>0.0625</v>
      </c>
      <c r="R413" s="11" t="str">
        <f t="shared" si="1"/>
        <v>Организационные работы</v>
      </c>
      <c r="S413" s="16" t="str">
        <f>iferror(VLOOKUP(C413,'ФИО'!A:B,2,0),"учётный код не найден")</f>
        <v>Белоглазова Виктория Сергеевна</v>
      </c>
      <c r="T413" s="13" t="str">
        <f t="shared" si="2"/>
        <v/>
      </c>
      <c r="U413" s="8">
        <v>0.0</v>
      </c>
      <c r="V413" s="8">
        <v>0.0</v>
      </c>
      <c r="X413" s="14" t="str">
        <f t="shared" si="31"/>
        <v>Данные не заполены</v>
      </c>
      <c r="Y413" s="15">
        <f t="shared" si="43"/>
        <v>0</v>
      </c>
      <c r="Z413" s="8" t="s">
        <v>173</v>
      </c>
    </row>
    <row r="414" hidden="1">
      <c r="A414" s="7">
        <v>44105.827271863425</v>
      </c>
      <c r="B414" s="8" t="s">
        <v>26</v>
      </c>
      <c r="C414" s="8">
        <v>21803.0</v>
      </c>
      <c r="D414" s="18" t="s">
        <v>27</v>
      </c>
      <c r="E414" s="8" t="s">
        <v>85</v>
      </c>
      <c r="G414" s="18">
        <v>3233.0</v>
      </c>
      <c r="H414" s="8" t="s">
        <v>29</v>
      </c>
      <c r="I414" s="8" t="s">
        <v>60</v>
      </c>
      <c r="L414" s="18" t="s">
        <v>31</v>
      </c>
      <c r="M414" s="8" t="s">
        <v>34</v>
      </c>
      <c r="N414" s="8"/>
      <c r="O414" s="8"/>
      <c r="P414" s="19">
        <v>44105.0</v>
      </c>
      <c r="Q414" s="20">
        <v>0.010416666664241347</v>
      </c>
      <c r="R414" s="13" t="str">
        <f t="shared" si="1"/>
        <v>Очистка трафаретного принтера</v>
      </c>
      <c r="S414" s="16" t="str">
        <f>iferror(VLOOKUP(C414,'ФИО'!A:B,2,0),"учётный код не найден")</f>
        <v>Белоглазова Виктория Сергеевна</v>
      </c>
      <c r="T414" s="13" t="str">
        <f t="shared" si="2"/>
        <v>915-00102.A - ПБОК-2В АСЛБ.465285.013 (Квант)</v>
      </c>
      <c r="U414" s="8">
        <v>0.0</v>
      </c>
      <c r="V414" s="8">
        <v>0.0</v>
      </c>
      <c r="W414" s="21" t="str">
        <f t="shared" ref="W414:W416" si="47">IFERROR((((38412/(ifs(O414&lt;35,35,O414&gt;34,O414)/N414)*0.7))),"Данные не заполены")</f>
        <v>Данные не заполены</v>
      </c>
      <c r="X414" s="15" t="str">
        <f t="shared" si="31"/>
        <v>Данные не заполены</v>
      </c>
      <c r="Y414" s="15">
        <f t="shared" si="43"/>
        <v>0</v>
      </c>
    </row>
    <row r="415" hidden="1">
      <c r="A415" s="7">
        <v>44112.82162667824</v>
      </c>
      <c r="B415" s="8" t="s">
        <v>26</v>
      </c>
      <c r="C415" s="8">
        <v>21803.0</v>
      </c>
      <c r="D415" s="8" t="s">
        <v>27</v>
      </c>
      <c r="E415" s="8" t="s">
        <v>85</v>
      </c>
      <c r="G415" s="8">
        <v>3238.0</v>
      </c>
      <c r="H415" s="8" t="s">
        <v>29</v>
      </c>
      <c r="I415" s="8" t="s">
        <v>43</v>
      </c>
      <c r="L415" s="8" t="s">
        <v>31</v>
      </c>
      <c r="M415" s="8" t="s">
        <v>34</v>
      </c>
      <c r="N415" s="8"/>
      <c r="O415" s="8"/>
      <c r="P415" s="9">
        <v>44112.0</v>
      </c>
      <c r="Q415" s="10">
        <v>0.020833333335758653</v>
      </c>
      <c r="R415" s="11" t="str">
        <f t="shared" si="1"/>
        <v>Очистка трафаретного принтера</v>
      </c>
      <c r="S415" s="16" t="str">
        <f>iferror(VLOOKUP(C415,'ФИО'!A:B,2,0),"учётный код не найден")</f>
        <v>Белоглазова Виктория Сергеевна</v>
      </c>
      <c r="T415" s="13" t="str">
        <f t="shared" si="2"/>
        <v>915-00097.A - ПКД-8В-3 АСЛБ.467249.110 (Квант)</v>
      </c>
      <c r="U415" s="8">
        <v>0.0</v>
      </c>
      <c r="V415" s="8">
        <v>0.0</v>
      </c>
      <c r="W415" s="21" t="str">
        <f t="shared" si="47"/>
        <v>Данные не заполены</v>
      </c>
      <c r="X415" s="15" t="str">
        <f t="shared" si="31"/>
        <v>Данные не заполены</v>
      </c>
      <c r="Y415" s="15">
        <f t="shared" si="43"/>
        <v>0</v>
      </c>
    </row>
    <row r="416" hidden="1">
      <c r="A416" s="7">
        <v>44113.81454824074</v>
      </c>
      <c r="B416" s="8" t="s">
        <v>26</v>
      </c>
      <c r="C416" s="8">
        <v>21803.0</v>
      </c>
      <c r="D416" s="8" t="s">
        <v>27</v>
      </c>
      <c r="E416" s="8" t="s">
        <v>85</v>
      </c>
      <c r="G416" s="8">
        <v>3750.0</v>
      </c>
      <c r="H416" s="8" t="s">
        <v>45</v>
      </c>
      <c r="K416" s="8" t="s">
        <v>46</v>
      </c>
      <c r="L416" s="8" t="s">
        <v>31</v>
      </c>
      <c r="M416" s="8" t="s">
        <v>34</v>
      </c>
      <c r="N416" s="8"/>
      <c r="O416" s="8"/>
      <c r="P416" s="9">
        <v>44113.0</v>
      </c>
      <c r="Q416" s="10">
        <v>0.04166666666424135</v>
      </c>
      <c r="R416" s="11" t="str">
        <f t="shared" si="1"/>
        <v>Очистка трафаретного принтера</v>
      </c>
      <c r="S416" s="16" t="str">
        <f>iferror(VLOOKUP(C416,'ФИО'!A:B,2,0),"учётный код не найден")</f>
        <v>Белоглазова Виктория Сергеевна</v>
      </c>
      <c r="T416" s="13" t="str">
        <f t="shared" si="2"/>
        <v>ПУ 910-00349.A "Печатный узел основного блока E96 4LIN"</v>
      </c>
      <c r="U416" s="8">
        <v>0.0</v>
      </c>
      <c r="V416" s="8">
        <v>0.0</v>
      </c>
      <c r="W416" s="21" t="str">
        <f t="shared" si="47"/>
        <v>Данные не заполены</v>
      </c>
      <c r="X416" s="15" t="str">
        <f t="shared" si="31"/>
        <v>Данные не заполены</v>
      </c>
      <c r="Y416" s="15">
        <f t="shared" si="43"/>
        <v>0</v>
      </c>
    </row>
    <row r="417" hidden="1">
      <c r="A417" s="7">
        <v>44125.315424305554</v>
      </c>
      <c r="B417" s="8" t="s">
        <v>38</v>
      </c>
      <c r="C417" s="8">
        <v>21803.0</v>
      </c>
      <c r="D417" s="8" t="s">
        <v>27</v>
      </c>
      <c r="E417" s="8" t="s">
        <v>85</v>
      </c>
      <c r="G417" s="8">
        <v>3253.0</v>
      </c>
      <c r="H417" s="8" t="s">
        <v>29</v>
      </c>
      <c r="I417" s="8" t="s">
        <v>95</v>
      </c>
      <c r="L417" s="8" t="s">
        <v>31</v>
      </c>
      <c r="M417" s="8" t="s">
        <v>34</v>
      </c>
      <c r="P417" s="9">
        <v>44124.0</v>
      </c>
      <c r="Q417" s="10">
        <v>0.04166666666424135</v>
      </c>
      <c r="R417" s="11" t="str">
        <f t="shared" si="1"/>
        <v>Очистка трафаретного принтера</v>
      </c>
      <c r="S417" s="16" t="str">
        <f>iferror(VLOOKUP(C417,'ФИО'!A:B,2,0),"учётный код не найден")</f>
        <v>Белоглазова Виктория Сергеевна</v>
      </c>
      <c r="T417" s="13" t="str">
        <f t="shared" si="2"/>
        <v>915-00095.A - ПКД-8В-1 АСЛБ.467249.108 (Квант)</v>
      </c>
      <c r="U417" s="8">
        <v>0.0</v>
      </c>
      <c r="V417" s="8">
        <v>0.0</v>
      </c>
      <c r="X417" s="14" t="str">
        <f t="shared" si="31"/>
        <v>Данные не заполены</v>
      </c>
      <c r="Y417" s="15">
        <f t="shared" si="43"/>
        <v>0</v>
      </c>
    </row>
    <row r="418" hidden="1">
      <c r="A418" s="7">
        <v>44105.808713935185</v>
      </c>
      <c r="B418" s="8" t="s">
        <v>26</v>
      </c>
      <c r="C418" s="8">
        <v>21803.0</v>
      </c>
      <c r="D418" s="18" t="s">
        <v>69</v>
      </c>
      <c r="F418" s="8" t="s">
        <v>72</v>
      </c>
      <c r="G418" s="18">
        <v>3419.0</v>
      </c>
      <c r="H418" s="8" t="s">
        <v>29</v>
      </c>
      <c r="I418" s="8" t="s">
        <v>75</v>
      </c>
      <c r="L418" s="18" t="s">
        <v>31</v>
      </c>
      <c r="M418" s="8" t="s">
        <v>174</v>
      </c>
      <c r="P418" s="19">
        <v>44105.0</v>
      </c>
      <c r="Q418" s="20">
        <v>0.03125</v>
      </c>
      <c r="R418" s="13" t="str">
        <f t="shared" si="1"/>
        <v>Пайка компонентов PRI</v>
      </c>
      <c r="S418" s="16" t="str">
        <f>iferror(VLOOKUP(C418,'ФИО'!A:B,2,0),"учётный код не найден")</f>
        <v>Белоглазова Виктория Сергеевна</v>
      </c>
      <c r="T418" s="13" t="str">
        <f t="shared" si="2"/>
        <v>ПБУИК-37В ASLB_758726_011r1 (Квант)</v>
      </c>
      <c r="U418" s="8">
        <v>0.0</v>
      </c>
      <c r="V418" s="8">
        <v>0.0</v>
      </c>
      <c r="W418" s="21" t="str">
        <f t="shared" ref="W418:W424" si="48">IFERROR((((38412/(ifs(O418&lt;35,35,O418&gt;34,O418)/N418)*0.7))),"Данные не заполены")</f>
        <v>Данные не заполены</v>
      </c>
      <c r="X418" s="15" t="str">
        <f t="shared" si="31"/>
        <v>Данные не заполены</v>
      </c>
      <c r="Y418" s="15">
        <f t="shared" si="43"/>
        <v>0</v>
      </c>
    </row>
    <row r="419" hidden="1">
      <c r="A419" s="7">
        <v>44108.327280474536</v>
      </c>
      <c r="B419" s="8" t="s">
        <v>38</v>
      </c>
      <c r="C419" s="8">
        <v>21803.0</v>
      </c>
      <c r="D419" s="8" t="s">
        <v>69</v>
      </c>
      <c r="F419" s="8" t="s">
        <v>72</v>
      </c>
      <c r="G419" s="8">
        <v>3579.0</v>
      </c>
      <c r="H419" s="8" t="s">
        <v>29</v>
      </c>
      <c r="I419" s="8" t="s">
        <v>42</v>
      </c>
      <c r="L419" s="8" t="s">
        <v>37</v>
      </c>
      <c r="P419" s="9">
        <v>44107.0</v>
      </c>
      <c r="Q419" s="10">
        <v>0.08333333333575865</v>
      </c>
      <c r="R419" s="11" t="str">
        <f t="shared" si="1"/>
        <v>Пайка компонентов PRI</v>
      </c>
      <c r="S419" s="16" t="str">
        <f>iferror(VLOOKUP(C419,'ФИО'!A:B,2,0),"учётный код не найден")</f>
        <v>Белоглазова Виктория Сергеевна</v>
      </c>
      <c r="T419" s="13" t="str">
        <f t="shared" si="2"/>
        <v>915-00070.A - Модуль телематики ТМ1 v3 (Сознательные машины)</v>
      </c>
      <c r="U419" s="8">
        <v>0.0</v>
      </c>
      <c r="V419" s="8">
        <v>0.0</v>
      </c>
      <c r="W419" s="21" t="str">
        <f t="shared" si="48"/>
        <v>Данные не заполены</v>
      </c>
      <c r="X419" s="15" t="str">
        <f t="shared" si="31"/>
        <v>Данные не заполены</v>
      </c>
      <c r="Y419" s="15">
        <f t="shared" si="43"/>
        <v>0</v>
      </c>
    </row>
    <row r="420" hidden="1">
      <c r="A420" s="7">
        <v>44112.81656393519</v>
      </c>
      <c r="B420" s="8" t="s">
        <v>26</v>
      </c>
      <c r="C420" s="8">
        <v>21803.0</v>
      </c>
      <c r="D420" s="8" t="s">
        <v>69</v>
      </c>
      <c r="F420" s="8" t="s">
        <v>72</v>
      </c>
      <c r="G420" s="8">
        <v>3234.0</v>
      </c>
      <c r="H420" s="8" t="s">
        <v>29</v>
      </c>
      <c r="I420" s="8" t="s">
        <v>135</v>
      </c>
      <c r="L420" s="8" t="s">
        <v>31</v>
      </c>
      <c r="M420" s="8" t="s">
        <v>34</v>
      </c>
      <c r="N420" s="8"/>
      <c r="O420" s="8"/>
      <c r="P420" s="9">
        <v>44112.0</v>
      </c>
      <c r="Q420" s="10">
        <v>0.020833333335758653</v>
      </c>
      <c r="R420" s="11" t="str">
        <f t="shared" si="1"/>
        <v>Пайка компонентов PRI</v>
      </c>
      <c r="S420" s="16" t="str">
        <f>iferror(VLOOKUP(C420,'ФИО'!A:B,2,0),"учётный код не найден")</f>
        <v>Белоглазова Виктория Сергеевна</v>
      </c>
      <c r="T420" s="13" t="str">
        <f t="shared" si="2"/>
        <v>915-00101.A - ПКД-9В АСЛБ.467249.107 (Квант)</v>
      </c>
      <c r="U420" s="8">
        <v>0.0</v>
      </c>
      <c r="V420" s="8">
        <v>0.0</v>
      </c>
      <c r="W420" s="21" t="str">
        <f t="shared" si="48"/>
        <v>Данные не заполены</v>
      </c>
      <c r="X420" s="15" t="str">
        <f t="shared" si="31"/>
        <v>Данные не заполены</v>
      </c>
      <c r="Y420" s="15">
        <f t="shared" si="43"/>
        <v>0</v>
      </c>
    </row>
    <row r="421">
      <c r="A421" s="7">
        <v>44116.32472640046</v>
      </c>
      <c r="B421" s="8" t="s">
        <v>38</v>
      </c>
      <c r="C421" s="8">
        <v>21803.0</v>
      </c>
      <c r="D421" s="8" t="s">
        <v>69</v>
      </c>
      <c r="F421" s="8" t="s">
        <v>72</v>
      </c>
      <c r="G421" s="8">
        <v>3750.0</v>
      </c>
      <c r="H421" s="8" t="s">
        <v>9</v>
      </c>
      <c r="J421" s="8" t="s">
        <v>46</v>
      </c>
      <c r="L421" s="8" t="s">
        <v>31</v>
      </c>
      <c r="M421" s="8" t="s">
        <v>34</v>
      </c>
      <c r="N421" s="8"/>
      <c r="O421" s="8"/>
      <c r="P421" s="9">
        <v>44115.0</v>
      </c>
      <c r="Q421" s="10">
        <v>0.020833333335758653</v>
      </c>
      <c r="R421" s="11" t="str">
        <f t="shared" si="1"/>
        <v>Пайка компонентов PRI</v>
      </c>
      <c r="S421" s="16" t="str">
        <f>iferror(VLOOKUP(C421,'ФИО'!A:B,2,0),"учётный код не найден")</f>
        <v>Белоглазова Виктория Сергеевна</v>
      </c>
      <c r="T421" s="13" t="str">
        <f t="shared" si="2"/>
        <v>ПУ 910-00349.A "Печатный узел основного блока E96 4LIN"</v>
      </c>
      <c r="U421" s="8">
        <v>0.0</v>
      </c>
      <c r="V421" s="8">
        <v>0.0</v>
      </c>
      <c r="W421" s="21" t="str">
        <f t="shared" si="48"/>
        <v>Данные не заполены</v>
      </c>
      <c r="X421" s="15" t="str">
        <f t="shared" si="31"/>
        <v>Данные не заполены</v>
      </c>
      <c r="Y421" s="15">
        <f t="shared" si="43"/>
        <v>0</v>
      </c>
    </row>
    <row r="422">
      <c r="A422" s="7">
        <v>44120.820094849536</v>
      </c>
      <c r="B422" s="8" t="s">
        <v>26</v>
      </c>
      <c r="C422" s="8">
        <v>21803.0</v>
      </c>
      <c r="D422" s="8" t="s">
        <v>69</v>
      </c>
      <c r="F422" s="8" t="s">
        <v>72</v>
      </c>
      <c r="G422" s="8">
        <v>3750.0</v>
      </c>
      <c r="H422" s="8" t="s">
        <v>45</v>
      </c>
      <c r="K422" s="8" t="s">
        <v>46</v>
      </c>
      <c r="L422" s="8" t="s">
        <v>37</v>
      </c>
      <c r="M422" s="8"/>
      <c r="P422" s="9">
        <v>44120.0</v>
      </c>
      <c r="Q422" s="10">
        <v>0.20833333333575865</v>
      </c>
      <c r="R422" s="11" t="str">
        <f t="shared" si="1"/>
        <v>Пайка компонентов PRI</v>
      </c>
      <c r="S422" s="16" t="str">
        <f>iferror(VLOOKUP(C422,'ФИО'!A:B,2,0),"учётный код не найден")</f>
        <v>Белоглазова Виктория Сергеевна</v>
      </c>
      <c r="T422" s="13" t="str">
        <f t="shared" si="2"/>
        <v>ПУ 910-00349.A "Печатный узел основного блока E96 4LIN"</v>
      </c>
      <c r="U422" s="8">
        <v>0.0</v>
      </c>
      <c r="V422" s="8">
        <v>0.0</v>
      </c>
      <c r="W422" s="17" t="str">
        <f t="shared" si="48"/>
        <v>Данные не заполены</v>
      </c>
      <c r="X422" s="14" t="str">
        <f t="shared" si="31"/>
        <v>Данные не заполены</v>
      </c>
      <c r="Y422" s="15">
        <f t="shared" si="43"/>
        <v>0</v>
      </c>
      <c r="Z422" s="8" t="s">
        <v>175</v>
      </c>
    </row>
    <row r="423" hidden="1">
      <c r="A423" s="7">
        <v>44112.83323138889</v>
      </c>
      <c r="B423" s="8" t="s">
        <v>26</v>
      </c>
      <c r="C423" s="8">
        <v>21752.0</v>
      </c>
      <c r="D423" s="8" t="s">
        <v>27</v>
      </c>
      <c r="E423" s="8" t="s">
        <v>48</v>
      </c>
      <c r="L423" s="8" t="s">
        <v>31</v>
      </c>
      <c r="M423" s="8" t="s">
        <v>34</v>
      </c>
      <c r="N423" s="8"/>
      <c r="O423" s="8"/>
      <c r="P423" s="9">
        <v>44112.0</v>
      </c>
      <c r="Q423" s="10">
        <v>0.020833333335758653</v>
      </c>
      <c r="R423" s="11" t="str">
        <f t="shared" si="1"/>
        <v>Выполнение организационных работ</v>
      </c>
      <c r="S423" s="16" t="str">
        <f>iferror(VLOOKUP(C423,'ФИО'!A:B,2,0),"учётный код не найден")</f>
        <v>Егоров Александр Александрович</v>
      </c>
      <c r="T423" s="13" t="str">
        <f t="shared" si="2"/>
        <v/>
      </c>
      <c r="W423" s="21" t="str">
        <f t="shared" si="48"/>
        <v>Данные не заполены</v>
      </c>
      <c r="X423" s="15" t="str">
        <f t="shared" si="31"/>
        <v>Данные не заполены</v>
      </c>
      <c r="Y423" s="15">
        <f t="shared" si="43"/>
        <v>0</v>
      </c>
    </row>
    <row r="424" hidden="1">
      <c r="A424" s="7">
        <v>44113.8677359375</v>
      </c>
      <c r="B424" s="8" t="s">
        <v>26</v>
      </c>
      <c r="C424" s="8">
        <v>21752.0</v>
      </c>
      <c r="D424" s="8" t="s">
        <v>27</v>
      </c>
      <c r="E424" s="8" t="s">
        <v>48</v>
      </c>
      <c r="L424" s="8" t="s">
        <v>31</v>
      </c>
      <c r="M424" s="8" t="s">
        <v>34</v>
      </c>
      <c r="N424" s="8"/>
      <c r="O424" s="8"/>
      <c r="P424" s="9">
        <v>44113.0</v>
      </c>
      <c r="Q424" s="10">
        <v>0.010416666664241347</v>
      </c>
      <c r="R424" s="11" t="str">
        <f t="shared" si="1"/>
        <v>Выполнение организационных работ</v>
      </c>
      <c r="S424" s="16" t="str">
        <f>iferror(VLOOKUP(C424,'ФИО'!A:B,2,0),"учётный код не найден")</f>
        <v>Егоров Александр Александрович</v>
      </c>
      <c r="T424" s="13" t="str">
        <f t="shared" si="2"/>
        <v/>
      </c>
      <c r="W424" s="21" t="str">
        <f t="shared" si="48"/>
        <v>Данные не заполены</v>
      </c>
      <c r="X424" s="15" t="str">
        <f t="shared" si="31"/>
        <v>Данные не заполены</v>
      </c>
      <c r="Y424" s="15">
        <f t="shared" si="43"/>
        <v>0</v>
      </c>
    </row>
    <row r="425" hidden="1">
      <c r="A425" s="7">
        <v>44133.32484361111</v>
      </c>
      <c r="B425" s="8" t="s">
        <v>38</v>
      </c>
      <c r="C425" s="8">
        <v>21752.0</v>
      </c>
      <c r="D425" s="8" t="s">
        <v>27</v>
      </c>
      <c r="E425" s="8" t="s">
        <v>48</v>
      </c>
      <c r="L425" s="8" t="s">
        <v>31</v>
      </c>
      <c r="M425" s="8" t="s">
        <v>176</v>
      </c>
      <c r="P425" s="9">
        <v>44132.0</v>
      </c>
      <c r="Q425" s="10">
        <v>0.020833333335758653</v>
      </c>
      <c r="R425" s="11" t="str">
        <f t="shared" si="1"/>
        <v>Выполнение организационных работ</v>
      </c>
      <c r="S425" s="12" t="str">
        <f>iferror(VLOOKUP(C425,'ФИО'!A:B,2,0),"учётный код не найден")</f>
        <v>Егоров Александр Александрович</v>
      </c>
      <c r="T425" s="13" t="str">
        <f t="shared" si="2"/>
        <v/>
      </c>
      <c r="X425" s="14" t="str">
        <f t="shared" si="31"/>
        <v>Данные не заполены</v>
      </c>
      <c r="Y425" s="15">
        <f t="shared" si="43"/>
        <v>0</v>
      </c>
    </row>
    <row r="426" hidden="1">
      <c r="A426" s="7">
        <v>44132.32843445602</v>
      </c>
      <c r="B426" s="8" t="s">
        <v>38</v>
      </c>
      <c r="C426" s="8">
        <v>21752.0</v>
      </c>
      <c r="D426" s="8" t="s">
        <v>27</v>
      </c>
      <c r="E426" s="8" t="s">
        <v>39</v>
      </c>
      <c r="G426" s="8">
        <v>3802.0</v>
      </c>
      <c r="H426" s="8" t="s">
        <v>45</v>
      </c>
      <c r="K426" s="8" t="s">
        <v>120</v>
      </c>
      <c r="L426" s="8" t="s">
        <v>31</v>
      </c>
      <c r="M426" s="8" t="s">
        <v>34</v>
      </c>
      <c r="P426" s="9">
        <v>44131.0</v>
      </c>
      <c r="Q426" s="10">
        <v>0.013888888890505768</v>
      </c>
      <c r="R426" s="11" t="str">
        <f t="shared" si="1"/>
        <v>Зарядка питателей Prim</v>
      </c>
      <c r="S426" s="12" t="str">
        <f>iferror(VLOOKUP(C426,'ФИО'!A:B,2,0),"учётный код не найден")</f>
        <v>Егоров Александр Александрович</v>
      </c>
      <c r="T426" s="13" t="str">
        <f t="shared" si="2"/>
        <v>М15ECO (900-00030.С) 910-00034.C/910-00041.C</v>
      </c>
      <c r="U426" s="8">
        <v>22.0</v>
      </c>
      <c r="V426" s="8">
        <v>0.0</v>
      </c>
      <c r="W426" s="8">
        <v>660.0</v>
      </c>
      <c r="X426" s="14">
        <f t="shared" si="31"/>
        <v>1.1</v>
      </c>
      <c r="Y426" s="15">
        <f t="shared" si="43"/>
        <v>0</v>
      </c>
    </row>
    <row r="427" hidden="1">
      <c r="A427" s="7">
        <v>44120.82511607639</v>
      </c>
      <c r="B427" s="8" t="s">
        <v>26</v>
      </c>
      <c r="C427" s="8">
        <v>21752.0</v>
      </c>
      <c r="D427" s="8" t="s">
        <v>27</v>
      </c>
      <c r="E427" s="8" t="s">
        <v>39</v>
      </c>
      <c r="G427" s="8">
        <v>3649.0</v>
      </c>
      <c r="H427" s="8" t="s">
        <v>29</v>
      </c>
      <c r="I427" s="8" t="s">
        <v>33</v>
      </c>
      <c r="L427" s="8" t="s">
        <v>31</v>
      </c>
      <c r="M427" s="8" t="s">
        <v>34</v>
      </c>
      <c r="P427" s="9">
        <v>44120.0</v>
      </c>
      <c r="Q427" s="10">
        <v>0.013888888890505768</v>
      </c>
      <c r="R427" s="11" t="str">
        <f t="shared" si="1"/>
        <v>Зарядка питателей Prim</v>
      </c>
      <c r="S427" s="16" t="str">
        <f>iferror(VLOOKUP(C427,'ФИО'!A:B,2,0),"учётный код не найден")</f>
        <v>Егоров Александр Александрович</v>
      </c>
      <c r="T427" s="13" t="str">
        <f t="shared" si="2"/>
        <v>ssfp2.2 (Метротек)</v>
      </c>
      <c r="U427" s="8">
        <v>20.0</v>
      </c>
      <c r="V427" s="8">
        <v>0.0</v>
      </c>
      <c r="W427" s="17">
        <v>660.0</v>
      </c>
      <c r="X427" s="14">
        <f t="shared" si="31"/>
        <v>0.9999999999</v>
      </c>
      <c r="Y427" s="15">
        <f t="shared" si="43"/>
        <v>0</v>
      </c>
    </row>
    <row r="428" hidden="1">
      <c r="A428" s="7">
        <v>44127.82310662037</v>
      </c>
      <c r="B428" s="8" t="s">
        <v>26</v>
      </c>
      <c r="C428" s="8">
        <v>21752.0</v>
      </c>
      <c r="D428" s="8" t="s">
        <v>27</v>
      </c>
      <c r="E428" s="8" t="s">
        <v>39</v>
      </c>
      <c r="G428" s="8">
        <v>3621.0</v>
      </c>
      <c r="H428" s="8" t="s">
        <v>29</v>
      </c>
      <c r="I428" s="8" t="s">
        <v>54</v>
      </c>
      <c r="L428" s="8" t="s">
        <v>31</v>
      </c>
      <c r="M428" s="8" t="s">
        <v>34</v>
      </c>
      <c r="P428" s="9">
        <v>44127.0</v>
      </c>
      <c r="Q428" s="10">
        <v>0.022222222221898846</v>
      </c>
      <c r="R428" s="11" t="str">
        <f t="shared" si="1"/>
        <v>Зарядка питателей Prim</v>
      </c>
      <c r="S428" s="16" t="str">
        <f>iferror(VLOOKUP(C428,'ФИО'!A:B,2,0),"учётный код не найден")</f>
        <v>Егоров Александр Александрович</v>
      </c>
      <c r="T428" s="13" t="str">
        <f t="shared" si="2"/>
        <v>915-00121.A - Процессорный модуль РСЕН.469555.027 (КНС Групп)</v>
      </c>
      <c r="U428" s="8">
        <v>32.0</v>
      </c>
      <c r="V428" s="8">
        <v>0.0</v>
      </c>
      <c r="W428" s="17">
        <v>660.0</v>
      </c>
      <c r="X428" s="14">
        <f t="shared" si="31"/>
        <v>1</v>
      </c>
      <c r="Y428" s="15">
        <f t="shared" si="43"/>
        <v>0</v>
      </c>
    </row>
    <row r="429" hidden="1">
      <c r="A429" s="7">
        <v>44109.3585096875</v>
      </c>
      <c r="B429" s="8" t="s">
        <v>127</v>
      </c>
      <c r="C429" s="8">
        <v>21927.0</v>
      </c>
      <c r="D429" s="8" t="s">
        <v>27</v>
      </c>
      <c r="E429" s="8" t="s">
        <v>28</v>
      </c>
      <c r="G429" s="8">
        <v>3706.0</v>
      </c>
      <c r="H429" s="8" t="s">
        <v>45</v>
      </c>
      <c r="K429" s="8" t="s">
        <v>91</v>
      </c>
      <c r="L429" s="8" t="s">
        <v>31</v>
      </c>
      <c r="M429" s="8" t="s">
        <v>34</v>
      </c>
      <c r="N429" s="8"/>
      <c r="O429" s="8"/>
      <c r="P429" s="9">
        <v>44108.0</v>
      </c>
      <c r="Q429" s="10">
        <v>0.020833333335758653</v>
      </c>
      <c r="R429" s="11" t="str">
        <f t="shared" si="1"/>
        <v>Выполнение дополнительных работ на линии</v>
      </c>
      <c r="S429" s="16" t="str">
        <f>iferror(VLOOKUP(C429,'ФИО'!A:B,2,0),"учётный код не найден")</f>
        <v>Шергин Родион Олегович</v>
      </c>
      <c r="T429" s="11" t="str">
        <f t="shared" si="2"/>
        <v>ПУ Сигма 10/15 910-00080.D</v>
      </c>
      <c r="U429" s="8">
        <v>0.0</v>
      </c>
      <c r="V429" s="8">
        <v>0.0</v>
      </c>
      <c r="W429" s="21" t="str">
        <f t="shared" ref="W429:W436" si="49">IFERROR((((38412/(ifs(O429&lt;35,35,O429&gt;34,O429)/N429)*0.7))),"Данные не заполены")</f>
        <v>Данные не заполены</v>
      </c>
      <c r="X429" s="15" t="str">
        <f t="shared" si="31"/>
        <v>Данные не заполены</v>
      </c>
      <c r="Y429" s="15">
        <f t="shared" si="43"/>
        <v>0</v>
      </c>
    </row>
    <row r="430" hidden="1">
      <c r="A430" s="7">
        <v>44125.83103751157</v>
      </c>
      <c r="B430" s="8" t="s">
        <v>127</v>
      </c>
      <c r="C430" s="8">
        <v>21927.0</v>
      </c>
      <c r="D430" s="8" t="s">
        <v>27</v>
      </c>
      <c r="E430" s="8" t="s">
        <v>28</v>
      </c>
      <c r="G430" s="8">
        <v>3253.0</v>
      </c>
      <c r="H430" s="8" t="s">
        <v>29</v>
      </c>
      <c r="I430" s="8" t="s">
        <v>95</v>
      </c>
      <c r="L430" s="8" t="s">
        <v>31</v>
      </c>
      <c r="M430" s="8" t="s">
        <v>34</v>
      </c>
      <c r="P430" s="9">
        <v>44125.0</v>
      </c>
      <c r="Q430" s="10">
        <v>0.08333333333575865</v>
      </c>
      <c r="R430" s="11" t="str">
        <f t="shared" si="1"/>
        <v>Выполнение дополнительных работ на линии</v>
      </c>
      <c r="S430" s="16" t="str">
        <f>iferror(VLOOKUP(C430,'ФИО'!A:B,2,0),"учётный код не найден")</f>
        <v>Шергин Родион Олегович</v>
      </c>
      <c r="T430" s="11" t="str">
        <f t="shared" si="2"/>
        <v>915-00095.A - ПКД-8В-1 АСЛБ.467249.108 (Квант)</v>
      </c>
      <c r="U430" s="8">
        <v>0.0</v>
      </c>
      <c r="V430" s="8">
        <v>0.0</v>
      </c>
      <c r="W430" s="17" t="str">
        <f t="shared" si="49"/>
        <v>Данные не заполены</v>
      </c>
      <c r="X430" s="14" t="str">
        <f t="shared" si="31"/>
        <v>Данные не заполены</v>
      </c>
      <c r="Y430" s="15">
        <f t="shared" si="43"/>
        <v>0</v>
      </c>
    </row>
    <row r="431" hidden="1">
      <c r="A431" s="7">
        <v>44115.813153738425</v>
      </c>
      <c r="B431" s="8" t="s">
        <v>87</v>
      </c>
      <c r="C431" s="8">
        <v>20015.0</v>
      </c>
      <c r="D431" s="8" t="s">
        <v>69</v>
      </c>
      <c r="F431" s="8" t="s">
        <v>164</v>
      </c>
      <c r="G431" s="8">
        <v>3750.0</v>
      </c>
      <c r="H431" s="8" t="s">
        <v>45</v>
      </c>
      <c r="K431" s="8" t="s">
        <v>46</v>
      </c>
      <c r="L431" s="8" t="s">
        <v>31</v>
      </c>
      <c r="M431" s="8" t="s">
        <v>34</v>
      </c>
      <c r="N431" s="8"/>
      <c r="O431" s="8"/>
      <c r="P431" s="9">
        <v>44115.0</v>
      </c>
      <c r="Q431" s="10">
        <v>0.027777777781011537</v>
      </c>
      <c r="R431" s="11" t="str">
        <f t="shared" si="1"/>
        <v>Написание программы для АОИ PRI</v>
      </c>
      <c r="S431" s="16" t="str">
        <f>iferror(VLOOKUP(C431,'ФИО'!A:B,2,0),"учётный код не найден")</f>
        <v>Ельцов Андрей Николаевич</v>
      </c>
      <c r="T431" s="13" t="str">
        <f t="shared" si="2"/>
        <v>ПУ 910-00349.A "Печатный узел основного блока E96 4LIN"</v>
      </c>
      <c r="U431" s="8">
        <v>0.0</v>
      </c>
      <c r="V431" s="8">
        <v>0.0</v>
      </c>
      <c r="W431" s="21" t="str">
        <f t="shared" si="49"/>
        <v>Данные не заполены</v>
      </c>
      <c r="X431" s="15" t="str">
        <f t="shared" si="31"/>
        <v>Данные не заполены</v>
      </c>
      <c r="Y431" s="15">
        <f t="shared" si="43"/>
        <v>0</v>
      </c>
    </row>
    <row r="432" hidden="1">
      <c r="A432" s="7">
        <v>44112.8165784375</v>
      </c>
      <c r="B432" s="8" t="s">
        <v>26</v>
      </c>
      <c r="C432" s="8">
        <v>21522.0</v>
      </c>
      <c r="D432" s="8" t="s">
        <v>69</v>
      </c>
      <c r="F432" s="8" t="s">
        <v>79</v>
      </c>
      <c r="G432" s="8">
        <v>3234.0</v>
      </c>
      <c r="H432" s="8" t="s">
        <v>29</v>
      </c>
      <c r="I432" s="8" t="s">
        <v>135</v>
      </c>
      <c r="L432" s="8" t="s">
        <v>31</v>
      </c>
      <c r="M432" s="8" t="s">
        <v>34</v>
      </c>
      <c r="N432" s="8"/>
      <c r="O432" s="8"/>
      <c r="P432" s="9">
        <v>44112.0</v>
      </c>
      <c r="Q432" s="10">
        <v>0.0625</v>
      </c>
      <c r="R432" s="11" t="str">
        <f t="shared" si="1"/>
        <v>Настройка SEHO SEC</v>
      </c>
      <c r="S432" s="16" t="str">
        <f>iferror(VLOOKUP(C432,'ФИО'!A:B,2,0),"учётный код не найден")</f>
        <v>Исаев Никита Дмитриевич</v>
      </c>
      <c r="T432" s="13" t="str">
        <f t="shared" si="2"/>
        <v>915-00101.A - ПКД-9В АСЛБ.467249.107 (Квант)</v>
      </c>
      <c r="U432" s="8">
        <v>0.0</v>
      </c>
      <c r="V432" s="8">
        <v>0.0</v>
      </c>
      <c r="W432" s="21" t="str">
        <f t="shared" si="49"/>
        <v>Данные не заполены</v>
      </c>
      <c r="X432" s="15" t="str">
        <f t="shared" si="31"/>
        <v>Данные не заполены</v>
      </c>
      <c r="Y432" s="15">
        <f t="shared" si="43"/>
        <v>0</v>
      </c>
    </row>
    <row r="433" hidden="1">
      <c r="A433" s="7">
        <v>44112.81662315972</v>
      </c>
      <c r="B433" s="8" t="s">
        <v>26</v>
      </c>
      <c r="C433" s="8">
        <v>21522.0</v>
      </c>
      <c r="D433" s="8" t="s">
        <v>69</v>
      </c>
      <c r="F433" s="8" t="s">
        <v>104</v>
      </c>
      <c r="L433" s="8" t="s">
        <v>31</v>
      </c>
      <c r="M433" s="8" t="s">
        <v>34</v>
      </c>
      <c r="N433" s="8"/>
      <c r="O433" s="8"/>
      <c r="P433" s="9">
        <v>44112.0</v>
      </c>
      <c r="Q433" s="10">
        <v>0.27083333333575865</v>
      </c>
      <c r="R433" s="11" t="str">
        <f t="shared" si="1"/>
        <v>Обучение</v>
      </c>
      <c r="S433" s="16" t="str">
        <f>iferror(VLOOKUP(C433,'ФИО'!A:B,2,0),"учётный код не найден")</f>
        <v>Исаев Никита Дмитриевич</v>
      </c>
      <c r="T433" s="13" t="str">
        <f t="shared" si="2"/>
        <v/>
      </c>
      <c r="W433" s="21" t="str">
        <f t="shared" si="49"/>
        <v>Данные не заполены</v>
      </c>
      <c r="X433" s="15" t="str">
        <f t="shared" si="31"/>
        <v>Данные не заполены</v>
      </c>
      <c r="Y433" s="15">
        <f t="shared" si="43"/>
        <v>0</v>
      </c>
    </row>
    <row r="434" hidden="1">
      <c r="A434" s="7">
        <v>44113.81920111111</v>
      </c>
      <c r="B434" s="8" t="s">
        <v>26</v>
      </c>
      <c r="C434" s="8">
        <v>21522.0</v>
      </c>
      <c r="D434" s="8" t="s">
        <v>69</v>
      </c>
      <c r="F434" s="8" t="s">
        <v>104</v>
      </c>
      <c r="L434" s="8" t="s">
        <v>31</v>
      </c>
      <c r="M434" s="8" t="s">
        <v>34</v>
      </c>
      <c r="N434" s="8"/>
      <c r="O434" s="8"/>
      <c r="P434" s="9">
        <v>44113.0</v>
      </c>
      <c r="Q434" s="10">
        <v>0.04166666666424135</v>
      </c>
      <c r="R434" s="11" t="str">
        <f t="shared" si="1"/>
        <v>Обучение</v>
      </c>
      <c r="S434" s="16" t="str">
        <f>iferror(VLOOKUP(C434,'ФИО'!A:B,2,0),"учётный код не найден")</f>
        <v>Исаев Никита Дмитриевич</v>
      </c>
      <c r="T434" s="13" t="str">
        <f t="shared" si="2"/>
        <v/>
      </c>
      <c r="W434" s="21" t="str">
        <f t="shared" si="49"/>
        <v>Данные не заполены</v>
      </c>
      <c r="X434" s="15" t="str">
        <f t="shared" si="31"/>
        <v>Данные не заполены</v>
      </c>
      <c r="Y434" s="15">
        <f t="shared" si="43"/>
        <v>0</v>
      </c>
    </row>
    <row r="435" hidden="1">
      <c r="A435" s="7">
        <v>44120.82777392361</v>
      </c>
      <c r="B435" s="8" t="s">
        <v>26</v>
      </c>
      <c r="C435" s="8">
        <v>21522.0</v>
      </c>
      <c r="D435" s="8" t="s">
        <v>69</v>
      </c>
      <c r="F435" s="8" t="s">
        <v>104</v>
      </c>
      <c r="L435" s="8" t="s">
        <v>31</v>
      </c>
      <c r="M435" s="8" t="s">
        <v>34</v>
      </c>
      <c r="P435" s="9">
        <v>44120.0</v>
      </c>
      <c r="Q435" s="10">
        <v>0.08333333333575865</v>
      </c>
      <c r="R435" s="11" t="str">
        <f t="shared" si="1"/>
        <v>Обучение</v>
      </c>
      <c r="S435" s="16" t="str">
        <f>iferror(VLOOKUP(C435,'ФИО'!A:B,2,0),"учётный код не найден")</f>
        <v>Исаев Никита Дмитриевич</v>
      </c>
      <c r="T435" s="13" t="str">
        <f t="shared" si="2"/>
        <v/>
      </c>
      <c r="W435" s="17" t="str">
        <f t="shared" si="49"/>
        <v>Данные не заполены</v>
      </c>
      <c r="X435" s="14" t="str">
        <f t="shared" si="31"/>
        <v>Данные не заполены</v>
      </c>
      <c r="Y435" s="15">
        <f t="shared" si="43"/>
        <v>0</v>
      </c>
    </row>
    <row r="436" hidden="1">
      <c r="A436" s="7">
        <v>44105.830524282406</v>
      </c>
      <c r="B436" s="8" t="s">
        <v>26</v>
      </c>
      <c r="C436" s="8">
        <v>21522.0</v>
      </c>
      <c r="D436" s="18" t="s">
        <v>69</v>
      </c>
      <c r="F436" s="8" t="s">
        <v>169</v>
      </c>
      <c r="G436" s="18">
        <v>3370.0</v>
      </c>
      <c r="H436" s="8" t="s">
        <v>29</v>
      </c>
      <c r="I436" s="8" t="s">
        <v>73</v>
      </c>
      <c r="L436" s="18" t="s">
        <v>31</v>
      </c>
      <c r="M436" s="8" t="s">
        <v>34</v>
      </c>
      <c r="N436" s="8"/>
      <c r="O436" s="8"/>
      <c r="P436" s="19">
        <v>44105.0</v>
      </c>
      <c r="Q436" s="20">
        <v>0.04166666666424135</v>
      </c>
      <c r="R436" s="13" t="str">
        <f t="shared" si="1"/>
        <v>Отладка программы</v>
      </c>
      <c r="S436" s="16" t="str">
        <f>iferror(VLOOKUP(C436,'ФИО'!A:B,2,0),"учётный код не найден")</f>
        <v>Исаев Никита Дмитриевич</v>
      </c>
      <c r="T436" s="13" t="str">
        <f t="shared" si="2"/>
        <v>915-00114.A - ПБЭС-37П АСЛБ.467291.010-01 (Квант)</v>
      </c>
      <c r="U436" s="8">
        <v>0.0</v>
      </c>
      <c r="V436" s="8">
        <v>0.0</v>
      </c>
      <c r="W436" s="21" t="str">
        <f t="shared" si="49"/>
        <v>Данные не заполены</v>
      </c>
      <c r="X436" s="15" t="str">
        <f t="shared" si="31"/>
        <v>Данные не заполены</v>
      </c>
      <c r="Y436" s="15">
        <f t="shared" si="43"/>
        <v>0</v>
      </c>
    </row>
    <row r="437" hidden="1">
      <c r="A437" s="7">
        <v>44128.80643660879</v>
      </c>
      <c r="B437" s="8" t="s">
        <v>26</v>
      </c>
      <c r="C437" s="8">
        <v>20751.0</v>
      </c>
      <c r="D437" s="8" t="s">
        <v>27</v>
      </c>
      <c r="E437" s="8" t="s">
        <v>50</v>
      </c>
      <c r="L437" s="8" t="s">
        <v>31</v>
      </c>
      <c r="M437" s="8" t="s">
        <v>34</v>
      </c>
      <c r="P437" s="9">
        <v>44128.0</v>
      </c>
      <c r="Q437" s="10">
        <v>0.020833333335758653</v>
      </c>
      <c r="R437" s="11" t="str">
        <f t="shared" si="1"/>
        <v>Заполнение отчёта</v>
      </c>
      <c r="S437" s="16" t="str">
        <f>iferror(VLOOKUP(C437,'ФИО'!A:B,2,0),"учётный код не найден")</f>
        <v>Кезерев Виталий Романович</v>
      </c>
      <c r="T437" s="13" t="str">
        <f t="shared" si="2"/>
        <v/>
      </c>
      <c r="X437" s="14" t="str">
        <f t="shared" si="31"/>
        <v>Данные не заполены</v>
      </c>
      <c r="Y437" s="15">
        <f t="shared" si="43"/>
        <v>0</v>
      </c>
    </row>
    <row r="438" hidden="1">
      <c r="A438" s="7">
        <v>44129.82439388889</v>
      </c>
      <c r="B438" s="8" t="s">
        <v>26</v>
      </c>
      <c r="C438" s="8">
        <v>20751.0</v>
      </c>
      <c r="D438" s="8" t="s">
        <v>27</v>
      </c>
      <c r="E438" s="8" t="s">
        <v>39</v>
      </c>
      <c r="G438" s="8">
        <v>3237.0</v>
      </c>
      <c r="H438" s="8" t="s">
        <v>29</v>
      </c>
      <c r="I438" s="8" t="s">
        <v>56</v>
      </c>
      <c r="L438" s="8" t="s">
        <v>31</v>
      </c>
      <c r="M438" s="8" t="s">
        <v>34</v>
      </c>
      <c r="P438" s="9">
        <v>44129.0</v>
      </c>
      <c r="Q438" s="10">
        <v>0.013888888890505768</v>
      </c>
      <c r="R438" s="11" t="str">
        <f t="shared" si="1"/>
        <v>Зарядка питателей Prim</v>
      </c>
      <c r="S438" s="12" t="str">
        <f>iferror(VLOOKUP(C438,'ФИО'!A:B,2,0),"учётный код не найден")</f>
        <v>Кезерев Виталий Романович</v>
      </c>
      <c r="T438" s="13" t="str">
        <f t="shared" si="2"/>
        <v>915-00098.А - ПКБУИК-38 АСЛБ.465122.020 (Квант)</v>
      </c>
      <c r="U438" s="8">
        <v>11.0</v>
      </c>
      <c r="V438" s="8">
        <v>0.0</v>
      </c>
      <c r="W438" s="8">
        <v>660.0</v>
      </c>
      <c r="X438" s="14">
        <f t="shared" si="31"/>
        <v>0.5499999999</v>
      </c>
      <c r="Y438" s="15">
        <f t="shared" si="43"/>
        <v>0</v>
      </c>
      <c r="Z438" s="8" t="s">
        <v>71</v>
      </c>
    </row>
    <row r="439" hidden="1">
      <c r="A439" s="7">
        <v>44108.33023037037</v>
      </c>
      <c r="B439" s="8" t="s">
        <v>38</v>
      </c>
      <c r="C439" s="8">
        <v>20751.0</v>
      </c>
      <c r="D439" s="8" t="s">
        <v>27</v>
      </c>
      <c r="E439" s="8" t="s">
        <v>39</v>
      </c>
      <c r="G439" s="8">
        <v>3726.0</v>
      </c>
      <c r="H439" s="8" t="s">
        <v>45</v>
      </c>
      <c r="K439" s="8" t="s">
        <v>58</v>
      </c>
      <c r="L439" s="8" t="s">
        <v>31</v>
      </c>
      <c r="M439" s="8" t="s">
        <v>34</v>
      </c>
      <c r="N439" s="8"/>
      <c r="O439" s="8"/>
      <c r="P439" s="9">
        <v>44107.0</v>
      </c>
      <c r="Q439" s="10">
        <v>0.010416666664241347</v>
      </c>
      <c r="R439" s="11" t="str">
        <f t="shared" si="1"/>
        <v>Зарядка питателей Prim</v>
      </c>
      <c r="S439" s="16" t="str">
        <f>iferror(VLOOKUP(C439,'ФИО'!A:B,2,0),"учётный код не найден")</f>
        <v>Кезерев Виталий Романович</v>
      </c>
      <c r="T439" s="13" t="str">
        <f t="shared" si="2"/>
        <v>ПУ метки i95</v>
      </c>
      <c r="U439" s="8">
        <v>8.0</v>
      </c>
      <c r="V439" s="8">
        <v>0.0</v>
      </c>
      <c r="W439" s="21" t="str">
        <f t="shared" ref="W439:W441" si="50">IFERROR((((38412/(ifs(O439&lt;35,35,O439&gt;34,O439)/N439)*0.7))),"Данные не заполены")</f>
        <v>Данные не заполены</v>
      </c>
      <c r="X439" s="15" t="str">
        <f t="shared" si="31"/>
        <v>Данные не заполены</v>
      </c>
      <c r="Y439" s="15">
        <f t="shared" si="43"/>
        <v>0</v>
      </c>
      <c r="Z439" s="8" t="s">
        <v>177</v>
      </c>
    </row>
    <row r="440" hidden="1">
      <c r="A440" s="7">
        <v>44105.81953775463</v>
      </c>
      <c r="B440" s="8" t="s">
        <v>26</v>
      </c>
      <c r="C440" s="8">
        <v>20751.0</v>
      </c>
      <c r="D440" s="18" t="s">
        <v>27</v>
      </c>
      <c r="E440" s="8" t="s">
        <v>178</v>
      </c>
      <c r="G440" s="11"/>
      <c r="L440" s="18" t="s">
        <v>31</v>
      </c>
      <c r="M440" s="8" t="s">
        <v>34</v>
      </c>
      <c r="N440" s="8"/>
      <c r="O440" s="8"/>
      <c r="P440" s="19">
        <v>44105.0</v>
      </c>
      <c r="Q440" s="20">
        <v>0.020833333335758653</v>
      </c>
      <c r="R440" s="13" t="str">
        <f t="shared" si="1"/>
        <v>Написание инструкции</v>
      </c>
      <c r="S440" s="16" t="str">
        <f>iferror(VLOOKUP(C440,'ФИО'!A:B,2,0),"учётный код не найден")</f>
        <v>Кезерев Виталий Романович</v>
      </c>
      <c r="T440" s="13" t="str">
        <f t="shared" si="2"/>
        <v/>
      </c>
      <c r="W440" s="21" t="str">
        <f t="shared" si="50"/>
        <v>Данные не заполены</v>
      </c>
      <c r="X440" s="15" t="str">
        <f t="shared" si="31"/>
        <v>Данные не заполены</v>
      </c>
      <c r="Y440" s="15">
        <f t="shared" si="43"/>
        <v>0</v>
      </c>
    </row>
    <row r="441" hidden="1">
      <c r="A441" s="7">
        <v>44105.826977812496</v>
      </c>
      <c r="B441" s="8" t="s">
        <v>26</v>
      </c>
      <c r="C441" s="8">
        <v>20751.0</v>
      </c>
      <c r="D441" s="18" t="s">
        <v>27</v>
      </c>
      <c r="E441" s="8" t="s">
        <v>57</v>
      </c>
      <c r="G441" s="18">
        <v>3579.0</v>
      </c>
      <c r="H441" s="8" t="s">
        <v>29</v>
      </c>
      <c r="I441" s="8" t="s">
        <v>42</v>
      </c>
      <c r="L441" s="18" t="s">
        <v>31</v>
      </c>
      <c r="M441" s="8" t="s">
        <v>34</v>
      </c>
      <c r="N441" s="8"/>
      <c r="O441" s="8"/>
      <c r="P441" s="19">
        <v>44105.0</v>
      </c>
      <c r="Q441" s="20">
        <v>0.010416666664241347</v>
      </c>
      <c r="R441" s="13" t="str">
        <f t="shared" si="1"/>
        <v>Настройка линии Primary</v>
      </c>
      <c r="S441" s="16" t="str">
        <f>iferror(VLOOKUP(C441,'ФИО'!A:B,2,0),"учётный код не найден")</f>
        <v>Кезерев Виталий Романович</v>
      </c>
      <c r="T441" s="13" t="str">
        <f t="shared" si="2"/>
        <v>915-00070.A - Модуль телематики ТМ1 v3 (Сознательные машины)</v>
      </c>
      <c r="U441" s="8">
        <v>0.0</v>
      </c>
      <c r="V441" s="8">
        <v>0.0</v>
      </c>
      <c r="W441" s="21" t="str">
        <f t="shared" si="50"/>
        <v>Данные не заполены</v>
      </c>
      <c r="X441" s="15" t="str">
        <f t="shared" si="31"/>
        <v>Данные не заполены</v>
      </c>
      <c r="Y441" s="15">
        <f t="shared" si="43"/>
        <v>0</v>
      </c>
    </row>
    <row r="442" hidden="1">
      <c r="A442" s="7">
        <v>44125.325361655094</v>
      </c>
      <c r="B442" s="8" t="s">
        <v>38</v>
      </c>
      <c r="C442" s="8">
        <v>22087.0</v>
      </c>
      <c r="D442" s="8" t="s">
        <v>27</v>
      </c>
      <c r="E442" s="8" t="s">
        <v>179</v>
      </c>
      <c r="G442" s="8">
        <v>3253.0</v>
      </c>
      <c r="H442" s="8" t="s">
        <v>29</v>
      </c>
      <c r="I442" s="8" t="s">
        <v>95</v>
      </c>
      <c r="L442" s="8" t="s">
        <v>31</v>
      </c>
      <c r="M442" s="8" t="s">
        <v>34</v>
      </c>
      <c r="P442" s="9">
        <v>44124.0</v>
      </c>
      <c r="Q442" s="10">
        <v>0.04166666666424135</v>
      </c>
      <c r="R442" s="11" t="str">
        <f t="shared" si="1"/>
        <v>Отладка программы на AOI PRI</v>
      </c>
      <c r="S442" s="16" t="str">
        <f>iferror(VLOOKUP(C442,'ФИО'!A:B,2,0),"учётный код не найден")</f>
        <v>Хохряков Илья Александрович</v>
      </c>
      <c r="T442" s="13" t="str">
        <f t="shared" si="2"/>
        <v>915-00095.A - ПКД-8В-1 АСЛБ.467249.108 (Квант)</v>
      </c>
      <c r="U442" s="8">
        <v>0.0</v>
      </c>
      <c r="V442" s="8">
        <v>0.0</v>
      </c>
      <c r="X442" s="14" t="str">
        <f t="shared" si="31"/>
        <v>Данные не заполены</v>
      </c>
      <c r="Y442" s="15">
        <f t="shared" si="43"/>
        <v>0</v>
      </c>
    </row>
    <row r="443" hidden="1">
      <c r="A443" s="7">
        <v>44124.322609814815</v>
      </c>
      <c r="B443" s="8" t="s">
        <v>38</v>
      </c>
      <c r="C443" s="8">
        <v>22087.0</v>
      </c>
      <c r="D443" s="8" t="s">
        <v>27</v>
      </c>
      <c r="E443" s="8" t="s">
        <v>180</v>
      </c>
      <c r="G443" s="8">
        <v>3754.0</v>
      </c>
      <c r="H443" s="8" t="s">
        <v>45</v>
      </c>
      <c r="K443" s="8" t="s">
        <v>124</v>
      </c>
      <c r="L443" s="8" t="s">
        <v>31</v>
      </c>
      <c r="M443" s="8" t="s">
        <v>34</v>
      </c>
      <c r="P443" s="9">
        <v>44123.0</v>
      </c>
      <c r="Q443" s="10">
        <v>0.08333333333575865</v>
      </c>
      <c r="R443" s="11" t="str">
        <f t="shared" si="1"/>
        <v>Отладка программы на AOI SEC</v>
      </c>
      <c r="S443" s="16" t="str">
        <f>iferror(VLOOKUP(C443,'ФИО'!A:B,2,0),"учётный код не найден")</f>
        <v>Хохряков Илья Александрович</v>
      </c>
      <c r="T443" s="13" t="str">
        <f t="shared" si="2"/>
        <v>ПУ 910-00120.D - Печатный узел модуля 2CAN+LIN</v>
      </c>
      <c r="U443" s="8">
        <v>0.0</v>
      </c>
      <c r="V443" s="8">
        <v>0.0</v>
      </c>
      <c r="X443" s="14" t="str">
        <f t="shared" si="31"/>
        <v>Данные не заполены</v>
      </c>
      <c r="Y443" s="15">
        <f t="shared" si="43"/>
        <v>0</v>
      </c>
    </row>
    <row r="444" hidden="1">
      <c r="A444" s="7">
        <v>44112.786463275464</v>
      </c>
      <c r="B444" s="8" t="s">
        <v>26</v>
      </c>
      <c r="C444" s="8">
        <v>50000.0</v>
      </c>
      <c r="D444" s="8" t="s">
        <v>27</v>
      </c>
      <c r="E444" s="8" t="s">
        <v>67</v>
      </c>
      <c r="G444" s="8">
        <v>3238.0</v>
      </c>
      <c r="H444" s="8" t="s">
        <v>29</v>
      </c>
      <c r="I444" s="8" t="s">
        <v>43</v>
      </c>
      <c r="L444" s="8" t="s">
        <v>37</v>
      </c>
      <c r="P444" s="9">
        <v>44112.0</v>
      </c>
      <c r="Q444" s="10">
        <v>0.027777777781011537</v>
      </c>
      <c r="R444" s="11" t="str">
        <f t="shared" si="1"/>
        <v>Сборка на линии Prim</v>
      </c>
      <c r="S444" s="16" t="str">
        <f>iferror(VLOOKUP(C444,'ФИО'!A:B,2,0),"учётный код не найден")</f>
        <v>SMT</v>
      </c>
      <c r="T444" s="13" t="str">
        <f t="shared" si="2"/>
        <v>915-00097.A - ПКД-8В-3 АСЛБ.467249.110 (Квант)</v>
      </c>
      <c r="U444" s="8">
        <v>11.0</v>
      </c>
      <c r="V444" s="8">
        <v>0.0</v>
      </c>
      <c r="W444" s="21" t="str">
        <f t="shared" ref="W444:W451" si="51">IFERROR((((38412/(ifs(O444&lt;35,35,O444&gt;34,O444)/N444)*0.7))),"Данные не заполены")</f>
        <v>Данные не заполены</v>
      </c>
      <c r="X444" s="15" t="str">
        <f t="shared" si="31"/>
        <v>Данные не заполены</v>
      </c>
      <c r="Y444" s="15">
        <f t="shared" si="43"/>
        <v>0</v>
      </c>
    </row>
    <row r="445" hidden="1">
      <c r="A445" s="7">
        <v>44112.83116641204</v>
      </c>
      <c r="B445" s="8" t="s">
        <v>26</v>
      </c>
      <c r="C445" s="8">
        <v>60000.0</v>
      </c>
      <c r="D445" s="8" t="s">
        <v>69</v>
      </c>
      <c r="F445" s="8" t="s">
        <v>72</v>
      </c>
      <c r="G445" s="8">
        <v>3232.0</v>
      </c>
      <c r="H445" s="8" t="s">
        <v>29</v>
      </c>
      <c r="I445" s="8" t="s">
        <v>63</v>
      </c>
      <c r="L445" s="8" t="s">
        <v>37</v>
      </c>
      <c r="P445" s="9">
        <v>44112.0</v>
      </c>
      <c r="Q445" s="10">
        <v>0.01736111110949423</v>
      </c>
      <c r="R445" s="11" t="str">
        <f t="shared" si="1"/>
        <v>Пайка компонентов PRI</v>
      </c>
      <c r="S445" s="12" t="str">
        <f>iferror(VLOOKUP(C445,'ФИО'!A:B,2,0),"учётный код не найден")</f>
        <v>THT</v>
      </c>
      <c r="T445" s="13" t="str">
        <f t="shared" si="2"/>
        <v>915-00103.A - ПБОК-1В АСЛБ.465285.012 (Квант)</v>
      </c>
      <c r="U445" s="8">
        <v>11.0</v>
      </c>
      <c r="V445" s="8">
        <v>0.0</v>
      </c>
      <c r="W445" s="21" t="str">
        <f t="shared" si="51"/>
        <v>Данные не заполены</v>
      </c>
      <c r="X445" s="15" t="str">
        <f t="shared" si="31"/>
        <v>Данные не заполены</v>
      </c>
      <c r="Y445" s="15">
        <f t="shared" si="43"/>
        <v>0</v>
      </c>
    </row>
    <row r="446" hidden="1">
      <c r="A446" s="7">
        <v>44112.83118474537</v>
      </c>
      <c r="B446" s="8" t="s">
        <v>26</v>
      </c>
      <c r="C446" s="8">
        <v>60000.0</v>
      </c>
      <c r="D446" s="8" t="s">
        <v>69</v>
      </c>
      <c r="F446" s="8" t="s">
        <v>72</v>
      </c>
      <c r="G446" s="8">
        <v>3234.0</v>
      </c>
      <c r="H446" s="8" t="s">
        <v>29</v>
      </c>
      <c r="I446" s="8" t="s">
        <v>135</v>
      </c>
      <c r="L446" s="8" t="s">
        <v>37</v>
      </c>
      <c r="P446" s="9">
        <v>44112.0</v>
      </c>
      <c r="Q446" s="10">
        <v>0.010416666664241347</v>
      </c>
      <c r="R446" s="11" t="str">
        <f t="shared" si="1"/>
        <v>Пайка компонентов PRI</v>
      </c>
      <c r="S446" s="12" t="str">
        <f>iferror(VLOOKUP(C446,'ФИО'!A:B,2,0),"учётный код не найден")</f>
        <v>THT</v>
      </c>
      <c r="T446" s="13" t="str">
        <f t="shared" si="2"/>
        <v>915-00101.A - ПКД-9В АСЛБ.467249.107 (Квант)</v>
      </c>
      <c r="U446" s="8">
        <v>5.0</v>
      </c>
      <c r="V446" s="8">
        <v>0.0</v>
      </c>
      <c r="W446" s="21" t="str">
        <f t="shared" si="51"/>
        <v>Данные не заполены</v>
      </c>
      <c r="X446" s="15" t="str">
        <f t="shared" si="31"/>
        <v>Данные не заполены</v>
      </c>
      <c r="Y446" s="15">
        <f t="shared" si="43"/>
        <v>0</v>
      </c>
    </row>
    <row r="447" hidden="1">
      <c r="A447" s="7">
        <v>44132.82456633102</v>
      </c>
      <c r="B447" s="8" t="s">
        <v>127</v>
      </c>
      <c r="C447" s="8">
        <v>21927.0</v>
      </c>
      <c r="D447" s="8" t="s">
        <v>27</v>
      </c>
      <c r="E447" s="8" t="s">
        <v>28</v>
      </c>
      <c r="G447" s="8">
        <v>3621.0</v>
      </c>
      <c r="H447" s="8" t="s">
        <v>29</v>
      </c>
      <c r="I447" s="8" t="s">
        <v>54</v>
      </c>
      <c r="L447" s="8" t="s">
        <v>31</v>
      </c>
      <c r="M447" s="8" t="s">
        <v>34</v>
      </c>
      <c r="P447" s="9">
        <v>44132.0</v>
      </c>
      <c r="Q447" s="10">
        <v>0.08333333333575865</v>
      </c>
      <c r="R447" s="11" t="str">
        <f t="shared" si="1"/>
        <v>Выполнение дополнительных работ на линии</v>
      </c>
      <c r="S447" s="16" t="str">
        <f>iferror(VLOOKUP(C447,'ФИО'!A:B,2,0),"учётный код не найден")</f>
        <v>Шергин Родион Олегович</v>
      </c>
      <c r="T447" s="11" t="str">
        <f t="shared" si="2"/>
        <v>915-00121.A - Процессорный модуль РСЕН.469555.027 (КНС Групп)</v>
      </c>
      <c r="U447" s="8">
        <v>0.0</v>
      </c>
      <c r="V447" s="8">
        <v>0.0</v>
      </c>
      <c r="W447" s="17" t="str">
        <f t="shared" si="51"/>
        <v>Данные не заполены</v>
      </c>
      <c r="X447" s="14" t="str">
        <f t="shared" si="31"/>
        <v>Данные не заполены</v>
      </c>
      <c r="Y447" s="15">
        <f t="shared" si="43"/>
        <v>0</v>
      </c>
    </row>
    <row r="448" hidden="1">
      <c r="A448" s="7">
        <v>44133.8297144213</v>
      </c>
      <c r="B448" s="8" t="s">
        <v>127</v>
      </c>
      <c r="C448" s="8">
        <v>21927.0</v>
      </c>
      <c r="D448" s="8" t="s">
        <v>27</v>
      </c>
      <c r="E448" s="8" t="s">
        <v>28</v>
      </c>
      <c r="G448" s="8">
        <v>3621.0</v>
      </c>
      <c r="H448" s="8" t="s">
        <v>29</v>
      </c>
      <c r="I448" s="8" t="s">
        <v>54</v>
      </c>
      <c r="L448" s="8" t="s">
        <v>31</v>
      </c>
      <c r="M448" s="8" t="s">
        <v>34</v>
      </c>
      <c r="P448" s="9">
        <v>44133.0</v>
      </c>
      <c r="Q448" s="10">
        <v>0.25</v>
      </c>
      <c r="R448" s="11" t="str">
        <f t="shared" si="1"/>
        <v>Выполнение дополнительных работ на линии</v>
      </c>
      <c r="S448" s="16" t="str">
        <f>iferror(VLOOKUP(C448,'ФИО'!A:B,2,0),"учётный код не найден")</f>
        <v>Шергин Родион Олегович</v>
      </c>
      <c r="T448" s="11" t="str">
        <f t="shared" si="2"/>
        <v>915-00121.A - Процессорный модуль РСЕН.469555.027 (КНС Групп)</v>
      </c>
      <c r="U448" s="8">
        <v>0.0</v>
      </c>
      <c r="V448" s="8">
        <v>0.0</v>
      </c>
      <c r="W448" s="17" t="str">
        <f t="shared" si="51"/>
        <v>Данные не заполены</v>
      </c>
      <c r="X448" s="14" t="str">
        <f t="shared" si="31"/>
        <v>Данные не заполены</v>
      </c>
      <c r="Y448" s="15">
        <f t="shared" si="43"/>
        <v>0</v>
      </c>
    </row>
    <row r="449" hidden="1">
      <c r="A449" s="7">
        <v>44117.79715592593</v>
      </c>
      <c r="B449" s="8" t="s">
        <v>127</v>
      </c>
      <c r="C449" s="8">
        <v>21927.0</v>
      </c>
      <c r="D449" s="8" t="s">
        <v>27</v>
      </c>
      <c r="E449" s="8" t="s">
        <v>39</v>
      </c>
      <c r="G449" s="8">
        <v>3622.0</v>
      </c>
      <c r="H449" s="8" t="s">
        <v>29</v>
      </c>
      <c r="I449" s="8" t="s">
        <v>90</v>
      </c>
      <c r="L449" s="8" t="s">
        <v>31</v>
      </c>
      <c r="M449" s="8" t="s">
        <v>34</v>
      </c>
      <c r="P449" s="9">
        <v>44117.0</v>
      </c>
      <c r="Q449" s="10">
        <v>0.04166666666424135</v>
      </c>
      <c r="R449" s="11" t="str">
        <f t="shared" si="1"/>
        <v>Зарядка питателей Prim</v>
      </c>
      <c r="S449" s="16" t="str">
        <f>iferror(VLOOKUP(C449,'ФИО'!A:B,2,0),"учётный код не найден")</f>
        <v>Шергин Родион Олегович</v>
      </c>
      <c r="T449" s="11" t="str">
        <f t="shared" si="2"/>
        <v>915-00124.A - Tioga Pass_v1.1 (Гагар.ин)</v>
      </c>
      <c r="U449" s="8">
        <v>50.0</v>
      </c>
      <c r="V449" s="8">
        <v>0.0</v>
      </c>
      <c r="W449" s="17" t="str">
        <f t="shared" si="51"/>
        <v>Данные не заполены</v>
      </c>
      <c r="X449" s="14" t="str">
        <f t="shared" si="31"/>
        <v>Данные не заполены</v>
      </c>
      <c r="Y449" s="15">
        <f t="shared" si="43"/>
        <v>0</v>
      </c>
    </row>
    <row r="450" hidden="1">
      <c r="A450" s="7">
        <v>44132.82157950231</v>
      </c>
      <c r="B450" s="8" t="s">
        <v>127</v>
      </c>
      <c r="C450" s="8">
        <v>21927.0</v>
      </c>
      <c r="D450" s="8" t="s">
        <v>27</v>
      </c>
      <c r="E450" s="8" t="s">
        <v>40</v>
      </c>
      <c r="G450" s="8">
        <v>3621.0</v>
      </c>
      <c r="H450" s="8" t="s">
        <v>29</v>
      </c>
      <c r="I450" s="8" t="s">
        <v>54</v>
      </c>
      <c r="L450" s="8" t="s">
        <v>31</v>
      </c>
      <c r="M450" s="8" t="s">
        <v>34</v>
      </c>
      <c r="P450" s="9">
        <v>44132.0</v>
      </c>
      <c r="Q450" s="10">
        <v>0.020833333335758653</v>
      </c>
      <c r="R450" s="11" t="str">
        <f t="shared" si="1"/>
        <v>Зарядка питателей Sec</v>
      </c>
      <c r="S450" s="16" t="str">
        <f>iferror(VLOOKUP(C450,'ФИО'!A:B,2,0),"учётный код не найден")</f>
        <v>Шергин Родион Олегович</v>
      </c>
      <c r="T450" s="11" t="str">
        <f t="shared" si="2"/>
        <v>915-00121.A - Процессорный модуль РСЕН.469555.027 (КНС Групп)</v>
      </c>
      <c r="U450" s="8">
        <v>25.0</v>
      </c>
      <c r="V450" s="8">
        <v>0.0</v>
      </c>
      <c r="W450" s="17" t="str">
        <f t="shared" si="51"/>
        <v>Данные не заполены</v>
      </c>
      <c r="X450" s="14" t="str">
        <f t="shared" si="31"/>
        <v>Данные не заполены</v>
      </c>
      <c r="Y450" s="15">
        <f t="shared" si="43"/>
        <v>0</v>
      </c>
    </row>
    <row r="451" hidden="1">
      <c r="A451" s="7">
        <v>44120.65821612268</v>
      </c>
      <c r="B451" s="8" t="s">
        <v>26</v>
      </c>
      <c r="C451" s="8">
        <v>20015.0</v>
      </c>
      <c r="D451" s="8" t="s">
        <v>69</v>
      </c>
      <c r="F451" s="8" t="s">
        <v>164</v>
      </c>
      <c r="G451" s="8">
        <v>3238.0</v>
      </c>
      <c r="H451" s="8" t="s">
        <v>29</v>
      </c>
      <c r="I451" s="8" t="s">
        <v>43</v>
      </c>
      <c r="L451" s="8" t="s">
        <v>31</v>
      </c>
      <c r="M451" s="8" t="s">
        <v>34</v>
      </c>
      <c r="P451" s="9">
        <v>44120.0</v>
      </c>
      <c r="Q451" s="10">
        <v>0.10416666666424135</v>
      </c>
      <c r="R451" s="11" t="str">
        <f t="shared" si="1"/>
        <v>Написание программы для АОИ PRI</v>
      </c>
      <c r="S451" s="16" t="str">
        <f>iferror(VLOOKUP(C451,'ФИО'!A:B,2,0),"учётный код не найден")</f>
        <v>Ельцов Андрей Николаевич</v>
      </c>
      <c r="T451" s="13" t="str">
        <f t="shared" si="2"/>
        <v>915-00097.A - ПКД-8В-3 АСЛБ.467249.110 (Квант)</v>
      </c>
      <c r="U451" s="8">
        <v>0.0</v>
      </c>
      <c r="V451" s="8">
        <v>0.0</v>
      </c>
      <c r="W451" s="17" t="str">
        <f t="shared" si="51"/>
        <v>Данные не заполены</v>
      </c>
      <c r="X451" s="14" t="str">
        <f t="shared" si="31"/>
        <v>Данные не заполены</v>
      </c>
      <c r="Y451" s="15">
        <f t="shared" si="43"/>
        <v>0</v>
      </c>
    </row>
    <row r="452" hidden="1">
      <c r="A452" s="7">
        <v>44128.78369833333</v>
      </c>
      <c r="B452" s="8" t="s">
        <v>26</v>
      </c>
      <c r="C452" s="8">
        <v>20015.0</v>
      </c>
      <c r="D452" s="8" t="s">
        <v>69</v>
      </c>
      <c r="F452" s="8" t="s">
        <v>164</v>
      </c>
      <c r="G452" s="8">
        <v>3253.0</v>
      </c>
      <c r="H452" s="8" t="s">
        <v>29</v>
      </c>
      <c r="I452" s="8" t="s">
        <v>95</v>
      </c>
      <c r="L452" s="8" t="s">
        <v>31</v>
      </c>
      <c r="M452" s="8" t="s">
        <v>34</v>
      </c>
      <c r="P452" s="9">
        <v>44128.0</v>
      </c>
      <c r="Q452" s="10">
        <v>0.08333333333575865</v>
      </c>
      <c r="R452" s="11" t="str">
        <f t="shared" si="1"/>
        <v>Написание программы для АОИ PRI</v>
      </c>
      <c r="S452" s="16" t="str">
        <f>iferror(VLOOKUP(C452,'ФИО'!A:B,2,0),"учётный код не найден")</f>
        <v>Ельцов Андрей Николаевич</v>
      </c>
      <c r="T452" s="13" t="str">
        <f t="shared" si="2"/>
        <v>915-00095.A - ПКД-8В-1 АСЛБ.467249.108 (Квант)</v>
      </c>
      <c r="U452" s="8">
        <v>0.0</v>
      </c>
      <c r="V452" s="8">
        <v>0.0</v>
      </c>
      <c r="X452" s="14" t="str">
        <f t="shared" si="31"/>
        <v>Данные не заполены</v>
      </c>
      <c r="Y452" s="15">
        <f t="shared" si="43"/>
        <v>0</v>
      </c>
    </row>
    <row r="453" hidden="1">
      <c r="A453" s="7">
        <v>44111.81295736111</v>
      </c>
      <c r="B453" s="8" t="s">
        <v>89</v>
      </c>
      <c r="C453" s="8">
        <v>20015.0</v>
      </c>
      <c r="D453" s="8" t="s">
        <v>69</v>
      </c>
      <c r="F453" s="8" t="s">
        <v>181</v>
      </c>
      <c r="G453" s="8">
        <v>3233.0</v>
      </c>
      <c r="H453" s="8" t="s">
        <v>29</v>
      </c>
      <c r="I453" s="8" t="s">
        <v>60</v>
      </c>
      <c r="L453" s="8" t="s">
        <v>31</v>
      </c>
      <c r="M453" s="8" t="s">
        <v>34</v>
      </c>
      <c r="N453" s="8"/>
      <c r="O453" s="8"/>
      <c r="P453" s="9">
        <v>44111.0</v>
      </c>
      <c r="Q453" s="10">
        <v>0.04166666666424135</v>
      </c>
      <c r="R453" s="11" t="str">
        <f t="shared" si="1"/>
        <v>Написание программы для АОИ SEC</v>
      </c>
      <c r="S453" s="16" t="str">
        <f>iferror(VLOOKUP(C453,'ФИО'!A:B,2,0),"учётный код не найден")</f>
        <v>Ельцов Андрей Николаевич</v>
      </c>
      <c r="T453" s="13" t="str">
        <f t="shared" si="2"/>
        <v>915-00102.A - ПБОК-2В АСЛБ.465285.013 (Квант)</v>
      </c>
      <c r="U453" s="8">
        <v>0.0</v>
      </c>
      <c r="V453" s="8">
        <v>0.0</v>
      </c>
      <c r="W453" s="21" t="str">
        <f t="shared" ref="W453:W463" si="52">IFERROR((((38412/(ifs(O453&lt;35,35,O453&gt;34,O453)/N453)*0.7))),"Данные не заполены")</f>
        <v>Данные не заполены</v>
      </c>
      <c r="X453" s="15" t="str">
        <f t="shared" si="31"/>
        <v>Данные не заполены</v>
      </c>
      <c r="Y453" s="15">
        <f t="shared" si="43"/>
        <v>0</v>
      </c>
    </row>
    <row r="454" hidden="1">
      <c r="A454" s="7">
        <v>44119.66021527778</v>
      </c>
      <c r="B454" s="8" t="s">
        <v>89</v>
      </c>
      <c r="C454" s="8">
        <v>20015.0</v>
      </c>
      <c r="D454" s="8" t="s">
        <v>69</v>
      </c>
      <c r="F454" s="8" t="s">
        <v>181</v>
      </c>
      <c r="G454" s="8">
        <v>3234.0</v>
      </c>
      <c r="H454" s="8" t="s">
        <v>29</v>
      </c>
      <c r="I454" s="8" t="s">
        <v>135</v>
      </c>
      <c r="L454" s="8" t="s">
        <v>31</v>
      </c>
      <c r="M454" s="8" t="s">
        <v>34</v>
      </c>
      <c r="P454" s="9">
        <v>44119.0</v>
      </c>
      <c r="Q454" s="10">
        <v>0.020833333335758653</v>
      </c>
      <c r="R454" s="11" t="str">
        <f t="shared" si="1"/>
        <v>Написание программы для АОИ SEC</v>
      </c>
      <c r="S454" s="16" t="str">
        <f>iferror(VLOOKUP(C454,'ФИО'!A:B,2,0),"учётный код не найден")</f>
        <v>Ельцов Андрей Николаевич</v>
      </c>
      <c r="T454" s="13" t="str">
        <f t="shared" si="2"/>
        <v>915-00101.A - ПКД-9В АСЛБ.467249.107 (Квант)</v>
      </c>
      <c r="U454" s="8">
        <v>0.0</v>
      </c>
      <c r="V454" s="8">
        <v>0.0</v>
      </c>
      <c r="W454" s="17" t="str">
        <f t="shared" si="52"/>
        <v>Данные не заполены</v>
      </c>
      <c r="X454" s="14" t="str">
        <f t="shared" si="31"/>
        <v>Данные не заполены</v>
      </c>
      <c r="Y454" s="15">
        <f t="shared" si="43"/>
        <v>0</v>
      </c>
    </row>
    <row r="455" hidden="1">
      <c r="A455" s="7">
        <v>44112.795056539355</v>
      </c>
      <c r="B455" s="8" t="s">
        <v>26</v>
      </c>
      <c r="C455" s="8">
        <v>20015.0</v>
      </c>
      <c r="D455" s="8" t="s">
        <v>69</v>
      </c>
      <c r="F455" s="8" t="s">
        <v>181</v>
      </c>
      <c r="G455" s="8">
        <v>3234.0</v>
      </c>
      <c r="H455" s="8" t="s">
        <v>29</v>
      </c>
      <c r="I455" s="8" t="s">
        <v>135</v>
      </c>
      <c r="L455" s="8" t="s">
        <v>31</v>
      </c>
      <c r="M455" s="8" t="s">
        <v>34</v>
      </c>
      <c r="N455" s="8"/>
      <c r="O455" s="8"/>
      <c r="P455" s="9">
        <v>44112.0</v>
      </c>
      <c r="Q455" s="10">
        <v>0.04166666666424135</v>
      </c>
      <c r="R455" s="11" t="str">
        <f t="shared" si="1"/>
        <v>Написание программы для АОИ SEC</v>
      </c>
      <c r="S455" s="16" t="str">
        <f>iferror(VLOOKUP(C455,'ФИО'!A:B,2,0),"учётный код не найден")</f>
        <v>Ельцов Андрей Николаевич</v>
      </c>
      <c r="T455" s="13" t="str">
        <f t="shared" si="2"/>
        <v>915-00101.A - ПКД-9В АСЛБ.467249.107 (Квант)</v>
      </c>
      <c r="U455" s="8">
        <v>0.0</v>
      </c>
      <c r="V455" s="8">
        <v>0.0</v>
      </c>
      <c r="W455" s="21" t="str">
        <f t="shared" si="52"/>
        <v>Данные не заполены</v>
      </c>
      <c r="X455" s="15" t="str">
        <f t="shared" si="31"/>
        <v>Данные не заполены</v>
      </c>
      <c r="Y455" s="15">
        <f t="shared" si="43"/>
        <v>0</v>
      </c>
    </row>
    <row r="456" hidden="1">
      <c r="A456" s="7">
        <v>44133.82894373842</v>
      </c>
      <c r="B456" s="8" t="s">
        <v>127</v>
      </c>
      <c r="C456" s="8">
        <v>21927.0</v>
      </c>
      <c r="D456" s="8" t="s">
        <v>27</v>
      </c>
      <c r="E456" s="8" t="s">
        <v>40</v>
      </c>
      <c r="G456" s="8">
        <v>3621.0</v>
      </c>
      <c r="H456" s="8" t="s">
        <v>29</v>
      </c>
      <c r="I456" s="8" t="s">
        <v>54</v>
      </c>
      <c r="L456" s="8" t="s">
        <v>31</v>
      </c>
      <c r="M456" s="8" t="s">
        <v>34</v>
      </c>
      <c r="P456" s="9">
        <v>44133.0</v>
      </c>
      <c r="Q456" s="10">
        <v>0.08333333333575865</v>
      </c>
      <c r="R456" s="11" t="str">
        <f t="shared" si="1"/>
        <v>Зарядка питателей Sec</v>
      </c>
      <c r="S456" s="16" t="str">
        <f>iferror(VLOOKUP(C456,'ФИО'!A:B,2,0),"учётный код не найден")</f>
        <v>Шергин Родион Олегович</v>
      </c>
      <c r="T456" s="11" t="str">
        <f t="shared" si="2"/>
        <v>915-00121.A - Процессорный модуль РСЕН.469555.027 (КНС Групп)</v>
      </c>
      <c r="U456" s="8">
        <v>0.0</v>
      </c>
      <c r="V456" s="8">
        <v>0.0</v>
      </c>
      <c r="W456" s="17" t="str">
        <f t="shared" si="52"/>
        <v>Данные не заполены</v>
      </c>
      <c r="X456" s="14" t="str">
        <f t="shared" si="31"/>
        <v>Данные не заполены</v>
      </c>
      <c r="Y456" s="15">
        <f t="shared" si="43"/>
        <v>0</v>
      </c>
    </row>
    <row r="457" hidden="1">
      <c r="A457" s="7">
        <v>44109.35491876157</v>
      </c>
      <c r="B457" s="8" t="s">
        <v>127</v>
      </c>
      <c r="C457" s="8">
        <v>21927.0</v>
      </c>
      <c r="D457" s="8" t="s">
        <v>27</v>
      </c>
      <c r="E457" s="8" t="s">
        <v>57</v>
      </c>
      <c r="G457" s="8">
        <v>3233.0</v>
      </c>
      <c r="H457" s="8" t="s">
        <v>29</v>
      </c>
      <c r="I457" s="8" t="s">
        <v>60</v>
      </c>
      <c r="L457" s="8" t="s">
        <v>31</v>
      </c>
      <c r="M457" s="8" t="s">
        <v>34</v>
      </c>
      <c r="N457" s="8"/>
      <c r="O457" s="8"/>
      <c r="P457" s="9">
        <v>44108.0</v>
      </c>
      <c r="Q457" s="10">
        <v>0.020833333335758653</v>
      </c>
      <c r="R457" s="11" t="str">
        <f t="shared" si="1"/>
        <v>Настройка линии Primary</v>
      </c>
      <c r="S457" s="16" t="str">
        <f>iferror(VLOOKUP(C457,'ФИО'!A:B,2,0),"учётный код не найден")</f>
        <v>Шергин Родион Олегович</v>
      </c>
      <c r="T457" s="11" t="str">
        <f t="shared" si="2"/>
        <v>915-00102.A - ПБОК-2В АСЛБ.465285.013 (Квант)</v>
      </c>
      <c r="U457" s="8">
        <v>0.0</v>
      </c>
      <c r="V457" s="8">
        <v>0.0</v>
      </c>
      <c r="W457" s="21" t="str">
        <f t="shared" si="52"/>
        <v>Данные не заполены</v>
      </c>
      <c r="X457" s="15" t="str">
        <f t="shared" si="31"/>
        <v>Данные не заполены</v>
      </c>
      <c r="Y457" s="15">
        <f t="shared" si="43"/>
        <v>0</v>
      </c>
    </row>
    <row r="458" hidden="1">
      <c r="A458" s="7">
        <v>44117.79821234954</v>
      </c>
      <c r="B458" s="8" t="s">
        <v>127</v>
      </c>
      <c r="C458" s="8">
        <v>21927.0</v>
      </c>
      <c r="D458" s="8" t="s">
        <v>27</v>
      </c>
      <c r="E458" s="8" t="s">
        <v>57</v>
      </c>
      <c r="G458" s="8">
        <v>3622.0</v>
      </c>
      <c r="H458" s="8" t="s">
        <v>29</v>
      </c>
      <c r="I458" s="8" t="s">
        <v>90</v>
      </c>
      <c r="L458" s="8" t="s">
        <v>31</v>
      </c>
      <c r="M458" s="8" t="s">
        <v>34</v>
      </c>
      <c r="P458" s="9">
        <v>44117.0</v>
      </c>
      <c r="Q458" s="10">
        <v>0.020833333335758653</v>
      </c>
      <c r="R458" s="11" t="str">
        <f t="shared" si="1"/>
        <v>Настройка линии Primary</v>
      </c>
      <c r="S458" s="16" t="str">
        <f>iferror(VLOOKUP(C458,'ФИО'!A:B,2,0),"учётный код не найден")</f>
        <v>Шергин Родион Олегович</v>
      </c>
      <c r="T458" s="11" t="str">
        <f t="shared" si="2"/>
        <v>915-00124.A - Tioga Pass_v1.1 (Гагар.ин)</v>
      </c>
      <c r="U458" s="8">
        <v>0.0</v>
      </c>
      <c r="V458" s="8">
        <v>0.0</v>
      </c>
      <c r="W458" s="17" t="str">
        <f t="shared" si="52"/>
        <v>Данные не заполены</v>
      </c>
      <c r="X458" s="14" t="str">
        <f t="shared" si="31"/>
        <v>Данные не заполены</v>
      </c>
      <c r="Y458" s="15">
        <f t="shared" si="43"/>
        <v>0</v>
      </c>
    </row>
    <row r="459" hidden="1">
      <c r="A459" s="7">
        <v>44132.823767407404</v>
      </c>
      <c r="B459" s="8" t="s">
        <v>127</v>
      </c>
      <c r="C459" s="8">
        <v>21927.0</v>
      </c>
      <c r="D459" s="8" t="s">
        <v>27</v>
      </c>
      <c r="E459" s="8" t="s">
        <v>121</v>
      </c>
      <c r="G459" s="8">
        <v>3621.0</v>
      </c>
      <c r="H459" s="8" t="s">
        <v>29</v>
      </c>
      <c r="I459" s="8" t="s">
        <v>54</v>
      </c>
      <c r="L459" s="8" t="s">
        <v>31</v>
      </c>
      <c r="M459" s="8" t="s">
        <v>34</v>
      </c>
      <c r="P459" s="9">
        <v>44132.0</v>
      </c>
      <c r="Q459" s="10">
        <v>0.020833333335758653</v>
      </c>
      <c r="R459" s="11" t="str">
        <f t="shared" si="1"/>
        <v>Настройка линии Secondary</v>
      </c>
      <c r="S459" s="16" t="str">
        <f>iferror(VLOOKUP(C459,'ФИО'!A:B,2,0),"учётный код не найден")</f>
        <v>Шергин Родион Олегович</v>
      </c>
      <c r="T459" s="11" t="str">
        <f t="shared" si="2"/>
        <v>915-00121.A - Процессорный модуль РСЕН.469555.027 (КНС Групп)</v>
      </c>
      <c r="U459" s="8">
        <v>0.0</v>
      </c>
      <c r="V459" s="8">
        <v>0.0</v>
      </c>
      <c r="W459" s="17" t="str">
        <f t="shared" si="52"/>
        <v>Данные не заполены</v>
      </c>
      <c r="X459" s="14" t="str">
        <f t="shared" si="31"/>
        <v>Данные не заполены</v>
      </c>
      <c r="Y459" s="15">
        <f t="shared" si="43"/>
        <v>0</v>
      </c>
    </row>
    <row r="460" hidden="1">
      <c r="A460" s="7">
        <v>44109.35619355324</v>
      </c>
      <c r="B460" s="8" t="s">
        <v>127</v>
      </c>
      <c r="C460" s="8">
        <v>21927.0</v>
      </c>
      <c r="D460" s="8" t="s">
        <v>27</v>
      </c>
      <c r="E460" s="8" t="s">
        <v>166</v>
      </c>
      <c r="G460" s="8">
        <v>3233.0</v>
      </c>
      <c r="H460" s="8" t="s">
        <v>29</v>
      </c>
      <c r="I460" s="8" t="s">
        <v>60</v>
      </c>
      <c r="L460" s="8" t="s">
        <v>31</v>
      </c>
      <c r="M460" s="8" t="s">
        <v>34</v>
      </c>
      <c r="N460" s="8"/>
      <c r="O460" s="8"/>
      <c r="P460" s="9">
        <v>44108.0</v>
      </c>
      <c r="Q460" s="10">
        <v>0.020833333335758653</v>
      </c>
      <c r="R460" s="11" t="str">
        <f t="shared" si="1"/>
        <v>Настройка треев</v>
      </c>
      <c r="S460" s="16" t="str">
        <f>iferror(VLOOKUP(C460,'ФИО'!A:B,2,0),"учётный код не найден")</f>
        <v>Шергин Родион Олегович</v>
      </c>
      <c r="T460" s="11" t="str">
        <f t="shared" si="2"/>
        <v>915-00102.A - ПБОК-2В АСЛБ.465285.013 (Квант)</v>
      </c>
      <c r="U460" s="8">
        <v>0.0</v>
      </c>
      <c r="V460" s="8">
        <v>0.0</v>
      </c>
      <c r="W460" s="21" t="str">
        <f t="shared" si="52"/>
        <v>Данные не заполены</v>
      </c>
      <c r="X460" s="15" t="str">
        <f t="shared" si="31"/>
        <v>Данные не заполены</v>
      </c>
      <c r="Y460" s="15">
        <f t="shared" si="43"/>
        <v>0</v>
      </c>
    </row>
    <row r="461" hidden="1">
      <c r="A461" s="7">
        <v>44117.79896759259</v>
      </c>
      <c r="B461" s="8" t="s">
        <v>127</v>
      </c>
      <c r="C461" s="8">
        <v>21927.0</v>
      </c>
      <c r="D461" s="8" t="s">
        <v>27</v>
      </c>
      <c r="E461" s="8" t="s">
        <v>166</v>
      </c>
      <c r="G461" s="8">
        <v>3622.0</v>
      </c>
      <c r="H461" s="8" t="s">
        <v>29</v>
      </c>
      <c r="I461" s="8" t="s">
        <v>90</v>
      </c>
      <c r="L461" s="8" t="s">
        <v>31</v>
      </c>
      <c r="M461" s="8" t="s">
        <v>34</v>
      </c>
      <c r="P461" s="9">
        <v>44117.0</v>
      </c>
      <c r="Q461" s="10">
        <v>0.020833333335758653</v>
      </c>
      <c r="R461" s="11" t="str">
        <f t="shared" si="1"/>
        <v>Настройка треев</v>
      </c>
      <c r="S461" s="16" t="str">
        <f>iferror(VLOOKUP(C461,'ФИО'!A:B,2,0),"учётный код не найден")</f>
        <v>Шергин Родион Олегович</v>
      </c>
      <c r="T461" s="11" t="str">
        <f t="shared" si="2"/>
        <v>915-00124.A - Tioga Pass_v1.1 (Гагар.ин)</v>
      </c>
      <c r="U461" s="8">
        <v>0.0</v>
      </c>
      <c r="V461" s="8">
        <v>0.0</v>
      </c>
      <c r="W461" s="17" t="str">
        <f t="shared" si="52"/>
        <v>Данные не заполены</v>
      </c>
      <c r="X461" s="14" t="str">
        <f t="shared" si="31"/>
        <v>Данные не заполены</v>
      </c>
      <c r="Y461" s="15">
        <f t="shared" si="43"/>
        <v>0</v>
      </c>
    </row>
    <row r="462" hidden="1">
      <c r="A462" s="7">
        <v>44125.82953434028</v>
      </c>
      <c r="B462" s="8" t="s">
        <v>127</v>
      </c>
      <c r="C462" s="8">
        <v>21927.0</v>
      </c>
      <c r="D462" s="8" t="s">
        <v>27</v>
      </c>
      <c r="E462" s="8" t="s">
        <v>166</v>
      </c>
      <c r="G462" s="8">
        <v>3253.0</v>
      </c>
      <c r="H462" s="8" t="s">
        <v>29</v>
      </c>
      <c r="I462" s="8" t="s">
        <v>95</v>
      </c>
      <c r="L462" s="8" t="s">
        <v>31</v>
      </c>
      <c r="M462" s="8" t="s">
        <v>34</v>
      </c>
      <c r="P462" s="9">
        <v>44125.0</v>
      </c>
      <c r="Q462" s="10">
        <v>0.020833333335758653</v>
      </c>
      <c r="R462" s="11" t="str">
        <f t="shared" si="1"/>
        <v>Настройка треев</v>
      </c>
      <c r="S462" s="16" t="str">
        <f>iferror(VLOOKUP(C462,'ФИО'!A:B,2,0),"учётный код не найден")</f>
        <v>Шергин Родион Олегович</v>
      </c>
      <c r="T462" s="11" t="str">
        <f t="shared" si="2"/>
        <v>915-00095.A - ПКД-8В-1 АСЛБ.467249.108 (Квант)</v>
      </c>
      <c r="U462" s="8">
        <v>0.0</v>
      </c>
      <c r="V462" s="8">
        <v>0.0</v>
      </c>
      <c r="W462" s="17" t="str">
        <f t="shared" si="52"/>
        <v>Данные не заполены</v>
      </c>
      <c r="X462" s="14" t="str">
        <f t="shared" si="31"/>
        <v>Данные не заполены</v>
      </c>
      <c r="Y462" s="15">
        <f t="shared" si="43"/>
        <v>0</v>
      </c>
    </row>
    <row r="463" hidden="1">
      <c r="A463" s="7">
        <v>44132.823333125</v>
      </c>
      <c r="B463" s="8" t="s">
        <v>127</v>
      </c>
      <c r="C463" s="8">
        <v>21927.0</v>
      </c>
      <c r="D463" s="8" t="s">
        <v>27</v>
      </c>
      <c r="E463" s="8" t="s">
        <v>166</v>
      </c>
      <c r="G463" s="8">
        <v>3621.0</v>
      </c>
      <c r="H463" s="8" t="s">
        <v>29</v>
      </c>
      <c r="I463" s="8" t="s">
        <v>54</v>
      </c>
      <c r="L463" s="8" t="s">
        <v>31</v>
      </c>
      <c r="M463" s="8" t="s">
        <v>34</v>
      </c>
      <c r="P463" s="9">
        <v>44132.0</v>
      </c>
      <c r="Q463" s="10">
        <v>0.04166666666424135</v>
      </c>
      <c r="R463" s="11" t="str">
        <f t="shared" si="1"/>
        <v>Настройка треев</v>
      </c>
      <c r="S463" s="16" t="str">
        <f>iferror(VLOOKUP(C463,'ФИО'!A:B,2,0),"учётный код не найден")</f>
        <v>Шергин Родион Олегович</v>
      </c>
      <c r="T463" s="11" t="str">
        <f t="shared" si="2"/>
        <v>915-00121.A - Процессорный модуль РСЕН.469555.027 (КНС Групп)</v>
      </c>
      <c r="U463" s="8">
        <v>16.0</v>
      </c>
      <c r="V463" s="8">
        <v>0.0</v>
      </c>
      <c r="W463" s="17" t="str">
        <f t="shared" si="52"/>
        <v>Данные не заполены</v>
      </c>
      <c r="X463" s="14" t="str">
        <f t="shared" si="31"/>
        <v>Данные не заполены</v>
      </c>
      <c r="Y463" s="15">
        <f t="shared" si="43"/>
        <v>0</v>
      </c>
    </row>
    <row r="464" hidden="1">
      <c r="A464" s="7">
        <v>44124.34373284722</v>
      </c>
      <c r="B464" s="8" t="s">
        <v>126</v>
      </c>
      <c r="C464" s="8">
        <v>21171.0</v>
      </c>
      <c r="D464" s="8" t="s">
        <v>27</v>
      </c>
      <c r="E464" s="8" t="s">
        <v>125</v>
      </c>
      <c r="G464" s="8">
        <v>3649.0</v>
      </c>
      <c r="H464" s="8" t="s">
        <v>29</v>
      </c>
      <c r="I464" s="8" t="s">
        <v>33</v>
      </c>
      <c r="L464" s="8" t="s">
        <v>31</v>
      </c>
      <c r="M464" s="8" t="s">
        <v>34</v>
      </c>
      <c r="P464" s="9">
        <v>44120.0</v>
      </c>
      <c r="Q464" s="10">
        <v>0.04166666666424135</v>
      </c>
      <c r="R464" s="11" t="str">
        <f t="shared" si="1"/>
        <v>Настойка первой платы на АОИ SEC</v>
      </c>
      <c r="S464" s="16" t="str">
        <f>iferror(VLOOKUP(C464,'ФИО'!A:B,2,0),"учётный код не найден")</f>
        <v>Муртищева Ольга Валентиновна</v>
      </c>
      <c r="T464" s="13" t="str">
        <f t="shared" si="2"/>
        <v>ssfp2.2 (Метротек)</v>
      </c>
      <c r="U464" s="8">
        <v>5745.0</v>
      </c>
      <c r="V464" s="8">
        <v>1347.0</v>
      </c>
      <c r="X464" s="14" t="str">
        <f t="shared" si="31"/>
        <v>Данные не заполены</v>
      </c>
      <c r="Y464" s="15">
        <f t="shared" si="43"/>
        <v>0.234464752</v>
      </c>
    </row>
    <row r="465" hidden="1">
      <c r="A465" s="7">
        <v>44128.33074384259</v>
      </c>
      <c r="B465" s="8" t="s">
        <v>126</v>
      </c>
      <c r="C465" s="8">
        <v>21171.0</v>
      </c>
      <c r="D465" s="8" t="s">
        <v>27</v>
      </c>
      <c r="E465" s="8" t="s">
        <v>125</v>
      </c>
      <c r="G465" s="8">
        <v>3622.0</v>
      </c>
      <c r="H465" s="8" t="s">
        <v>29</v>
      </c>
      <c r="I465" s="8" t="s">
        <v>90</v>
      </c>
      <c r="L465" s="8" t="s">
        <v>37</v>
      </c>
      <c r="P465" s="9">
        <v>44127.0</v>
      </c>
      <c r="Q465" s="10">
        <v>0.18055555555474712</v>
      </c>
      <c r="R465" s="11" t="str">
        <f t="shared" si="1"/>
        <v>Настойка первой платы на АОИ SEC</v>
      </c>
      <c r="S465" s="16" t="str">
        <f>iferror(VLOOKUP(C465,'ФИО'!A:B,2,0),"учётный код не найден")</f>
        <v>Муртищева Ольга Валентиновна</v>
      </c>
      <c r="T465" s="13" t="str">
        <f t="shared" si="2"/>
        <v>915-00124.A - Tioga Pass_v1.1 (Гагар.ин)</v>
      </c>
      <c r="U465" s="8">
        <v>0.0</v>
      </c>
      <c r="V465" s="8">
        <v>0.0</v>
      </c>
      <c r="W465" s="17" t="str">
        <f t="shared" ref="W465:W499" si="53">IFERROR((((38412/(ifs(O465&lt;35,35,O465&gt;34,O465)/N465)*0.7))),"Данные не заполены")</f>
        <v>Данные не заполены</v>
      </c>
      <c r="X465" s="14" t="str">
        <f t="shared" si="31"/>
        <v>Данные не заполены</v>
      </c>
      <c r="Y465" s="15">
        <f t="shared" si="43"/>
        <v>0</v>
      </c>
    </row>
    <row r="466" hidden="1">
      <c r="A466" s="7">
        <v>44128.3348546875</v>
      </c>
      <c r="B466" s="8" t="s">
        <v>126</v>
      </c>
      <c r="C466" s="8">
        <v>21171.0</v>
      </c>
      <c r="D466" s="8" t="s">
        <v>27</v>
      </c>
      <c r="E466" s="8" t="s">
        <v>125</v>
      </c>
      <c r="G466" s="8">
        <v>3804.0</v>
      </c>
      <c r="H466" s="8" t="s">
        <v>45</v>
      </c>
      <c r="K466" s="8" t="s">
        <v>52</v>
      </c>
      <c r="L466" s="8" t="s">
        <v>31</v>
      </c>
      <c r="M466" s="8" t="s">
        <v>34</v>
      </c>
      <c r="P466" s="9">
        <v>44127.0</v>
      </c>
      <c r="Q466" s="10">
        <v>0.055555555554747116</v>
      </c>
      <c r="R466" s="11" t="str">
        <f t="shared" si="1"/>
        <v>Настойка первой платы на АОИ SEC</v>
      </c>
      <c r="S466" s="16" t="str">
        <f>iferror(VLOOKUP(C466,'ФИО'!A:B,2,0),"учётный код не найден")</f>
        <v>Муртищева Ольга Валентиновна</v>
      </c>
      <c r="T466" s="13" t="str">
        <f t="shared" si="2"/>
        <v>М17V2 (900-00018.D)_910-00023.H и ПУ 910-00012.I</v>
      </c>
      <c r="U466" s="8">
        <v>0.0</v>
      </c>
      <c r="V466" s="8">
        <v>0.0</v>
      </c>
      <c r="W466" s="17" t="str">
        <f t="shared" si="53"/>
        <v>Данные не заполены</v>
      </c>
      <c r="X466" s="14" t="str">
        <f t="shared" si="31"/>
        <v>Данные не заполены</v>
      </c>
      <c r="Y466" s="15">
        <f t="shared" si="43"/>
        <v>0</v>
      </c>
    </row>
    <row r="467" hidden="1">
      <c r="A467" s="7">
        <v>44129.31136541667</v>
      </c>
      <c r="B467" s="8" t="s">
        <v>126</v>
      </c>
      <c r="C467" s="8">
        <v>21171.0</v>
      </c>
      <c r="D467" s="8" t="s">
        <v>27</v>
      </c>
      <c r="E467" s="8" t="s">
        <v>125</v>
      </c>
      <c r="G467" s="8">
        <v>3804.0</v>
      </c>
      <c r="H467" s="8" t="s">
        <v>45</v>
      </c>
      <c r="K467" s="8" t="s">
        <v>52</v>
      </c>
      <c r="L467" s="8" t="s">
        <v>37</v>
      </c>
      <c r="P467" s="9">
        <v>44128.0</v>
      </c>
      <c r="Q467" s="10">
        <v>0.010416666664241347</v>
      </c>
      <c r="R467" s="11" t="str">
        <f t="shared" si="1"/>
        <v>Настойка первой платы на АОИ SEC</v>
      </c>
      <c r="S467" s="12" t="str">
        <f>iferror(VLOOKUP(C467,'ФИО'!A:B,2,0),"учётный код не найден")</f>
        <v>Муртищева Ольга Валентиновна</v>
      </c>
      <c r="T467" s="13" t="str">
        <f t="shared" si="2"/>
        <v>М17V2 (900-00018.D)_910-00023.H и ПУ 910-00012.I</v>
      </c>
      <c r="U467" s="8">
        <v>0.0</v>
      </c>
      <c r="V467" s="8">
        <v>0.0</v>
      </c>
      <c r="W467" s="17" t="str">
        <f t="shared" si="53"/>
        <v>Данные не заполены</v>
      </c>
      <c r="X467" s="14" t="str">
        <f t="shared" si="31"/>
        <v>Данные не заполены</v>
      </c>
      <c r="Y467" s="15">
        <f t="shared" si="43"/>
        <v>0</v>
      </c>
    </row>
    <row r="468" hidden="1">
      <c r="A468" s="7">
        <v>44109.355289074076</v>
      </c>
      <c r="B468" s="8" t="s">
        <v>127</v>
      </c>
      <c r="C468" s="8">
        <v>21927.0</v>
      </c>
      <c r="D468" s="8" t="s">
        <v>27</v>
      </c>
      <c r="E468" s="8" t="s">
        <v>82</v>
      </c>
      <c r="G468" s="8">
        <v>3233.0</v>
      </c>
      <c r="H468" s="8" t="s">
        <v>29</v>
      </c>
      <c r="I468" s="8" t="s">
        <v>60</v>
      </c>
      <c r="L468" s="8" t="s">
        <v>31</v>
      </c>
      <c r="M468" s="8" t="s">
        <v>34</v>
      </c>
      <c r="N468" s="8"/>
      <c r="O468" s="8"/>
      <c r="P468" s="9">
        <v>44108.0</v>
      </c>
      <c r="Q468" s="10">
        <v>0.020833333335758653</v>
      </c>
      <c r="R468" s="11" t="str">
        <f t="shared" si="1"/>
        <v>Настройка установщиков</v>
      </c>
      <c r="S468" s="16" t="str">
        <f>iferror(VLOOKUP(C468,'ФИО'!A:B,2,0),"учётный код не найден")</f>
        <v>Шергин Родион Олегович</v>
      </c>
      <c r="T468" s="11" t="str">
        <f t="shared" si="2"/>
        <v>915-00102.A - ПБОК-2В АСЛБ.465285.013 (Квант)</v>
      </c>
      <c r="U468" s="8">
        <v>1.0</v>
      </c>
      <c r="V468" s="8">
        <v>0.0</v>
      </c>
      <c r="W468" s="21" t="str">
        <f t="shared" si="53"/>
        <v>Данные не заполены</v>
      </c>
      <c r="X468" s="15" t="str">
        <f t="shared" si="31"/>
        <v>Данные не заполены</v>
      </c>
      <c r="Y468" s="15">
        <f t="shared" si="43"/>
        <v>0</v>
      </c>
    </row>
    <row r="469" hidden="1">
      <c r="A469" s="7">
        <v>44109.35753262731</v>
      </c>
      <c r="B469" s="8" t="s">
        <v>127</v>
      </c>
      <c r="C469" s="8">
        <v>21927.0</v>
      </c>
      <c r="D469" s="8" t="s">
        <v>27</v>
      </c>
      <c r="E469" s="8" t="s">
        <v>82</v>
      </c>
      <c r="G469" s="8">
        <v>3706.0</v>
      </c>
      <c r="H469" s="8" t="s">
        <v>45</v>
      </c>
      <c r="K469" s="8" t="s">
        <v>91</v>
      </c>
      <c r="L469" s="8" t="s">
        <v>31</v>
      </c>
      <c r="M469" s="8" t="s">
        <v>34</v>
      </c>
      <c r="N469" s="8"/>
      <c r="O469" s="8"/>
      <c r="P469" s="9">
        <v>44108.0</v>
      </c>
      <c r="Q469" s="10">
        <v>0.020833333335758653</v>
      </c>
      <c r="R469" s="11" t="str">
        <f t="shared" si="1"/>
        <v>Настройка установщиков</v>
      </c>
      <c r="S469" s="16" t="str">
        <f>iferror(VLOOKUP(C469,'ФИО'!A:B,2,0),"учётный код не найден")</f>
        <v>Шергин Родион Олегович</v>
      </c>
      <c r="T469" s="11" t="str">
        <f t="shared" si="2"/>
        <v>ПУ Сигма 10/15 910-00080.D</v>
      </c>
      <c r="U469" s="8">
        <v>1.0</v>
      </c>
      <c r="V469" s="8">
        <v>0.0</v>
      </c>
      <c r="W469" s="21" t="str">
        <f t="shared" si="53"/>
        <v>Данные не заполены</v>
      </c>
      <c r="X469" s="15" t="str">
        <f t="shared" si="31"/>
        <v>Данные не заполены</v>
      </c>
      <c r="Y469" s="15">
        <f t="shared" si="43"/>
        <v>0</v>
      </c>
    </row>
    <row r="470" hidden="1">
      <c r="A470" s="7">
        <v>44117.79860174769</v>
      </c>
      <c r="B470" s="8" t="s">
        <v>127</v>
      </c>
      <c r="C470" s="8">
        <v>21927.0</v>
      </c>
      <c r="D470" s="8" t="s">
        <v>27</v>
      </c>
      <c r="E470" s="8" t="s">
        <v>82</v>
      </c>
      <c r="G470" s="8">
        <v>3622.0</v>
      </c>
      <c r="H470" s="8" t="s">
        <v>29</v>
      </c>
      <c r="I470" s="8" t="s">
        <v>90</v>
      </c>
      <c r="L470" s="8" t="s">
        <v>31</v>
      </c>
      <c r="M470" s="8" t="s">
        <v>34</v>
      </c>
      <c r="P470" s="9">
        <v>44117.0</v>
      </c>
      <c r="Q470" s="10">
        <v>0.04166666666424135</v>
      </c>
      <c r="R470" s="11" t="str">
        <f t="shared" si="1"/>
        <v>Настройка установщиков</v>
      </c>
      <c r="S470" s="16" t="str">
        <f>iferror(VLOOKUP(C470,'ФИО'!A:B,2,0),"учётный код не найден")</f>
        <v>Шергин Родион Олегович</v>
      </c>
      <c r="T470" s="11" t="str">
        <f t="shared" si="2"/>
        <v>915-00124.A - Tioga Pass_v1.1 (Гагар.ин)</v>
      </c>
      <c r="U470" s="8">
        <v>0.0</v>
      </c>
      <c r="V470" s="8">
        <v>0.0</v>
      </c>
      <c r="W470" s="17" t="str">
        <f t="shared" si="53"/>
        <v>Данные не заполены</v>
      </c>
      <c r="X470" s="14" t="str">
        <f t="shared" si="31"/>
        <v>Данные не заполены</v>
      </c>
      <c r="Y470" s="15">
        <f t="shared" si="43"/>
        <v>0</v>
      </c>
    </row>
    <row r="471" hidden="1">
      <c r="A471" s="7">
        <v>44125.83019766204</v>
      </c>
      <c r="B471" s="8" t="s">
        <v>127</v>
      </c>
      <c r="C471" s="8">
        <v>21927.0</v>
      </c>
      <c r="D471" s="8" t="s">
        <v>27</v>
      </c>
      <c r="E471" s="8" t="s">
        <v>82</v>
      </c>
      <c r="G471" s="8">
        <v>3253.0</v>
      </c>
      <c r="H471" s="8" t="s">
        <v>29</v>
      </c>
      <c r="I471" s="8" t="s">
        <v>95</v>
      </c>
      <c r="L471" s="8" t="s">
        <v>31</v>
      </c>
      <c r="M471" s="8" t="s">
        <v>34</v>
      </c>
      <c r="P471" s="9">
        <v>44125.0</v>
      </c>
      <c r="Q471" s="10">
        <v>0.020833333335758653</v>
      </c>
      <c r="R471" s="11" t="str">
        <f t="shared" si="1"/>
        <v>Настройка установщиков</v>
      </c>
      <c r="S471" s="16" t="str">
        <f>iferror(VLOOKUP(C471,'ФИО'!A:B,2,0),"учётный код не найден")</f>
        <v>Шергин Родион Олегович</v>
      </c>
      <c r="T471" s="11" t="str">
        <f t="shared" si="2"/>
        <v>915-00095.A - ПКД-8В-1 АСЛБ.467249.108 (Квант)</v>
      </c>
      <c r="U471" s="8">
        <v>0.0</v>
      </c>
      <c r="V471" s="8">
        <v>0.0</v>
      </c>
      <c r="W471" s="17" t="str">
        <f t="shared" si="53"/>
        <v>Данные не заполены</v>
      </c>
      <c r="X471" s="14" t="str">
        <f t="shared" si="31"/>
        <v>Данные не заполены</v>
      </c>
      <c r="Y471" s="15">
        <f t="shared" si="43"/>
        <v>0</v>
      </c>
    </row>
    <row r="472" hidden="1">
      <c r="A472" s="7">
        <v>44112.3267934375</v>
      </c>
      <c r="B472" s="8" t="s">
        <v>126</v>
      </c>
      <c r="C472" s="8">
        <v>22574.0</v>
      </c>
      <c r="D472" s="8" t="s">
        <v>27</v>
      </c>
      <c r="E472" s="8" t="s">
        <v>57</v>
      </c>
      <c r="G472" s="8">
        <v>3238.0</v>
      </c>
      <c r="H472" s="8" t="s">
        <v>29</v>
      </c>
      <c r="I472" s="8" t="s">
        <v>43</v>
      </c>
      <c r="L472" s="8" t="s">
        <v>31</v>
      </c>
      <c r="M472" s="8" t="s">
        <v>34</v>
      </c>
      <c r="N472" s="8"/>
      <c r="O472" s="8"/>
      <c r="P472" s="9">
        <v>44111.0</v>
      </c>
      <c r="Q472" s="10">
        <v>0.020833333335758653</v>
      </c>
      <c r="R472" s="11" t="str">
        <f t="shared" si="1"/>
        <v>Настройка линии Primary</v>
      </c>
      <c r="S472" s="16" t="str">
        <f>iferror(VLOOKUP(C472,'ФИО'!A:B,2,0),"учётный код не найден")</f>
        <v>Шапенков Геннадий Михайлович</v>
      </c>
      <c r="T472" s="13" t="str">
        <f t="shared" si="2"/>
        <v>915-00097.A - ПКД-8В-3 АСЛБ.467249.110 (Квант)</v>
      </c>
      <c r="U472" s="8">
        <v>0.0</v>
      </c>
      <c r="V472" s="8">
        <v>0.0</v>
      </c>
      <c r="W472" s="21" t="str">
        <f t="shared" si="53"/>
        <v>Данные не заполены</v>
      </c>
      <c r="X472" s="15" t="str">
        <f t="shared" si="31"/>
        <v>Данные не заполены</v>
      </c>
      <c r="Y472" s="15">
        <f t="shared" si="43"/>
        <v>0</v>
      </c>
    </row>
    <row r="473" hidden="1">
      <c r="A473" s="7">
        <v>44112.876240729165</v>
      </c>
      <c r="B473" s="8" t="s">
        <v>126</v>
      </c>
      <c r="C473" s="8">
        <v>21927.0</v>
      </c>
      <c r="D473" s="8" t="s">
        <v>27</v>
      </c>
      <c r="E473" s="8" t="s">
        <v>57</v>
      </c>
      <c r="G473" s="8">
        <v>3238.0</v>
      </c>
      <c r="H473" s="8" t="s">
        <v>29</v>
      </c>
      <c r="I473" s="8" t="s">
        <v>95</v>
      </c>
      <c r="L473" s="8" t="s">
        <v>31</v>
      </c>
      <c r="M473" s="8" t="s">
        <v>34</v>
      </c>
      <c r="N473" s="8"/>
      <c r="O473" s="8"/>
      <c r="P473" s="9">
        <v>44111.0</v>
      </c>
      <c r="Q473" s="10">
        <v>0.020833333335758653</v>
      </c>
      <c r="R473" s="11" t="str">
        <f t="shared" si="1"/>
        <v>Настройка линии Primary</v>
      </c>
      <c r="S473" s="16" t="str">
        <f>iferror(VLOOKUP(C473,'ФИО'!A:B,2,0),"учётный код не найден")</f>
        <v>Шергин Родион Олегович</v>
      </c>
      <c r="T473" s="13" t="str">
        <f t="shared" si="2"/>
        <v>915-00095.A - ПКД-8В-1 АСЛБ.467249.108 (Квант)</v>
      </c>
      <c r="U473" s="8">
        <v>0.0</v>
      </c>
      <c r="V473" s="8">
        <v>0.0</v>
      </c>
      <c r="W473" s="21" t="str">
        <f t="shared" si="53"/>
        <v>Данные не заполены</v>
      </c>
      <c r="X473" s="15" t="str">
        <f t="shared" si="31"/>
        <v>Данные не заполены</v>
      </c>
      <c r="Y473" s="15">
        <f t="shared" si="43"/>
        <v>0</v>
      </c>
    </row>
    <row r="474" hidden="1">
      <c r="A474" s="7">
        <v>44113.32267836806</v>
      </c>
      <c r="B474" s="8" t="s">
        <v>126</v>
      </c>
      <c r="C474" s="8">
        <v>22574.0</v>
      </c>
      <c r="D474" s="8" t="s">
        <v>27</v>
      </c>
      <c r="E474" s="8" t="s">
        <v>57</v>
      </c>
      <c r="G474" s="8">
        <v>3580.0</v>
      </c>
      <c r="H474" s="8" t="s">
        <v>29</v>
      </c>
      <c r="I474" s="8" t="s">
        <v>145</v>
      </c>
      <c r="L474" s="8" t="s">
        <v>31</v>
      </c>
      <c r="M474" s="8" t="s">
        <v>34</v>
      </c>
      <c r="N474" s="8"/>
      <c r="O474" s="8"/>
      <c r="P474" s="9">
        <v>44112.0</v>
      </c>
      <c r="Q474" s="10">
        <v>0.020833333335758653</v>
      </c>
      <c r="R474" s="11" t="str">
        <f t="shared" si="1"/>
        <v>Настройка линии Primary</v>
      </c>
      <c r="S474" s="16" t="str">
        <f>iferror(VLOOKUP(C474,'ФИО'!A:B,2,0),"учётный код не найден")</f>
        <v>Шапенков Геннадий Михайлович</v>
      </c>
      <c r="T474" s="13" t="str">
        <f t="shared" si="2"/>
        <v>XR (OÜ KLARBERG)</v>
      </c>
      <c r="U474" s="8">
        <v>0.0</v>
      </c>
      <c r="V474" s="8">
        <v>0.0</v>
      </c>
      <c r="W474" s="21" t="str">
        <f t="shared" si="53"/>
        <v>Данные не заполены</v>
      </c>
      <c r="X474" s="15" t="str">
        <f t="shared" si="31"/>
        <v>Данные не заполены</v>
      </c>
      <c r="Y474" s="15">
        <f t="shared" si="43"/>
        <v>0</v>
      </c>
    </row>
    <row r="475" hidden="1">
      <c r="A475" s="7">
        <v>44113.33158219907</v>
      </c>
      <c r="B475" s="8" t="s">
        <v>126</v>
      </c>
      <c r="C475" s="8">
        <v>21927.0</v>
      </c>
      <c r="D475" s="8" t="s">
        <v>27</v>
      </c>
      <c r="E475" s="8" t="s">
        <v>57</v>
      </c>
      <c r="G475" s="8">
        <v>3580.0</v>
      </c>
      <c r="H475" s="8" t="s">
        <v>29</v>
      </c>
      <c r="I475" s="8" t="s">
        <v>146</v>
      </c>
      <c r="L475" s="8" t="s">
        <v>31</v>
      </c>
      <c r="M475" s="8" t="s">
        <v>34</v>
      </c>
      <c r="N475" s="8"/>
      <c r="O475" s="8"/>
      <c r="P475" s="9">
        <v>44112.0</v>
      </c>
      <c r="Q475" s="10">
        <v>0.020833333335758653</v>
      </c>
      <c r="R475" s="11" t="str">
        <f t="shared" si="1"/>
        <v>Настройка линии Primary</v>
      </c>
      <c r="S475" s="16" t="str">
        <f>iferror(VLOOKUP(C475,'ФИО'!A:B,2,0),"учётный код не найден")</f>
        <v>Шергин Родион Олегович</v>
      </c>
      <c r="T475" s="13" t="str">
        <f t="shared" si="2"/>
        <v>XR (Термотроник)</v>
      </c>
      <c r="U475" s="8">
        <v>0.0</v>
      </c>
      <c r="V475" s="8">
        <v>0.0</v>
      </c>
      <c r="W475" s="21" t="str">
        <f t="shared" si="53"/>
        <v>Данные не заполены</v>
      </c>
      <c r="X475" s="15" t="str">
        <f t="shared" si="31"/>
        <v>Данные не заполены</v>
      </c>
      <c r="Y475" s="15">
        <f t="shared" si="43"/>
        <v>0</v>
      </c>
    </row>
    <row r="476" hidden="1">
      <c r="A476" s="7">
        <v>44113.33417554398</v>
      </c>
      <c r="B476" s="8" t="s">
        <v>126</v>
      </c>
      <c r="C476" s="8">
        <v>21927.0</v>
      </c>
      <c r="D476" s="8" t="s">
        <v>27</v>
      </c>
      <c r="E476" s="8" t="s">
        <v>57</v>
      </c>
      <c r="G476" s="8">
        <v>3750.0</v>
      </c>
      <c r="H476" s="8" t="s">
        <v>9</v>
      </c>
      <c r="J476" s="8" t="s">
        <v>46</v>
      </c>
      <c r="L476" s="8" t="s">
        <v>31</v>
      </c>
      <c r="M476" s="8" t="s">
        <v>34</v>
      </c>
      <c r="N476" s="8"/>
      <c r="O476" s="8"/>
      <c r="P476" s="9">
        <v>44112.0</v>
      </c>
      <c r="Q476" s="10">
        <v>0.020833333335758653</v>
      </c>
      <c r="R476" s="11" t="str">
        <f t="shared" si="1"/>
        <v>Настройка линии Primary</v>
      </c>
      <c r="S476" s="16" t="str">
        <f>iferror(VLOOKUP(C476,'ФИО'!A:B,2,0),"учётный код не найден")</f>
        <v>Шергин Родион Олегович</v>
      </c>
      <c r="T476" s="13" t="str">
        <f t="shared" si="2"/>
        <v>ПУ 910-00349.A "Печатный узел основного блока E96 4LIN"</v>
      </c>
      <c r="U476" s="8">
        <v>0.0</v>
      </c>
      <c r="V476" s="8">
        <v>0.0</v>
      </c>
      <c r="W476" s="21" t="str">
        <f t="shared" si="53"/>
        <v>Данные не заполены</v>
      </c>
      <c r="X476" s="15" t="str">
        <f t="shared" si="31"/>
        <v>Данные не заполены</v>
      </c>
      <c r="Y476" s="15">
        <f t="shared" si="43"/>
        <v>0</v>
      </c>
    </row>
    <row r="477" hidden="1">
      <c r="A477" s="7">
        <v>44133.82784403935</v>
      </c>
      <c r="B477" s="8" t="s">
        <v>127</v>
      </c>
      <c r="C477" s="8">
        <v>21927.0</v>
      </c>
      <c r="D477" s="8" t="s">
        <v>27</v>
      </c>
      <c r="E477" s="8" t="s">
        <v>82</v>
      </c>
      <c r="G477" s="8">
        <v>3621.0</v>
      </c>
      <c r="H477" s="8" t="s">
        <v>29</v>
      </c>
      <c r="I477" s="8" t="s">
        <v>54</v>
      </c>
      <c r="L477" s="8" t="s">
        <v>31</v>
      </c>
      <c r="M477" s="8" t="s">
        <v>34</v>
      </c>
      <c r="P477" s="9">
        <v>44133.0</v>
      </c>
      <c r="Q477" s="10">
        <v>0.125</v>
      </c>
      <c r="R477" s="11" t="str">
        <f t="shared" si="1"/>
        <v>Настройка установщиков</v>
      </c>
      <c r="S477" s="16" t="str">
        <f>iferror(VLOOKUP(C477,'ФИО'!A:B,2,0),"учётный код не найден")</f>
        <v>Шергин Родион Олегович</v>
      </c>
      <c r="T477" s="11" t="str">
        <f t="shared" si="2"/>
        <v>915-00121.A - Процессорный модуль РСЕН.469555.027 (КНС Групп)</v>
      </c>
      <c r="U477" s="8">
        <v>0.0</v>
      </c>
      <c r="V477" s="8">
        <v>0.0</v>
      </c>
      <c r="W477" s="17" t="str">
        <f t="shared" si="53"/>
        <v>Данные не заполены</v>
      </c>
      <c r="X477" s="14" t="str">
        <f t="shared" si="31"/>
        <v>Данные не заполены</v>
      </c>
      <c r="Y477" s="15">
        <f t="shared" si="43"/>
        <v>0</v>
      </c>
    </row>
    <row r="478" hidden="1">
      <c r="A478" s="7">
        <v>44132.82246847222</v>
      </c>
      <c r="B478" s="8" t="s">
        <v>127</v>
      </c>
      <c r="C478" s="8">
        <v>21927.0</v>
      </c>
      <c r="D478" s="8" t="s">
        <v>27</v>
      </c>
      <c r="E478" s="8" t="s">
        <v>182</v>
      </c>
      <c r="G478" s="8">
        <v>3621.0</v>
      </c>
      <c r="H478" s="8" t="s">
        <v>29</v>
      </c>
      <c r="I478" s="8" t="s">
        <v>54</v>
      </c>
      <c r="L478" s="8" t="s">
        <v>31</v>
      </c>
      <c r="M478" s="8" t="s">
        <v>34</v>
      </c>
      <c r="P478" s="9">
        <v>44132.0</v>
      </c>
      <c r="Q478" s="10">
        <v>0.16666666666424135</v>
      </c>
      <c r="R478" s="11" t="str">
        <f t="shared" si="1"/>
        <v>Подготовка компонентов к зарядке</v>
      </c>
      <c r="S478" s="16" t="str">
        <f>iferror(VLOOKUP(C478,'ФИО'!A:B,2,0),"учётный код не найден")</f>
        <v>Шергин Родион Олегович</v>
      </c>
      <c r="T478" s="11" t="str">
        <f t="shared" si="2"/>
        <v>915-00121.A - Процессорный модуль РСЕН.469555.027 (КНС Групп)</v>
      </c>
      <c r="U478" s="8">
        <v>0.0</v>
      </c>
      <c r="V478" s="8">
        <v>0.0</v>
      </c>
      <c r="W478" s="17" t="str">
        <f t="shared" si="53"/>
        <v>Данные не заполены</v>
      </c>
      <c r="X478" s="14" t="str">
        <f t="shared" si="31"/>
        <v>Данные не заполены</v>
      </c>
      <c r="Y478" s="15">
        <f t="shared" si="43"/>
        <v>0</v>
      </c>
    </row>
    <row r="479" hidden="1">
      <c r="A479" s="7">
        <v>44132.818715497684</v>
      </c>
      <c r="B479" s="8" t="s">
        <v>127</v>
      </c>
      <c r="C479" s="8">
        <v>21927.0</v>
      </c>
      <c r="D479" s="8" t="s">
        <v>27</v>
      </c>
      <c r="E479" s="8" t="s">
        <v>86</v>
      </c>
      <c r="L479" s="8" t="s">
        <v>31</v>
      </c>
      <c r="M479" s="8" t="s">
        <v>34</v>
      </c>
      <c r="P479" s="9">
        <v>44132.0</v>
      </c>
      <c r="Q479" s="10">
        <v>0.020833333335758653</v>
      </c>
      <c r="R479" s="11" t="str">
        <f t="shared" si="1"/>
        <v>Проведение обучения</v>
      </c>
      <c r="S479" s="16" t="str">
        <f>iferror(VLOOKUP(C479,'ФИО'!A:B,2,0),"учётный код не найден")</f>
        <v>Шергин Родион Олегович</v>
      </c>
      <c r="T479" s="11" t="str">
        <f t="shared" si="2"/>
        <v/>
      </c>
      <c r="W479" s="17" t="str">
        <f t="shared" si="53"/>
        <v>Данные не заполены</v>
      </c>
      <c r="X479" s="14" t="str">
        <f t="shared" si="31"/>
        <v>Данные не заполены</v>
      </c>
      <c r="Y479" s="15">
        <f t="shared" si="43"/>
        <v>0</v>
      </c>
    </row>
    <row r="480" hidden="1">
      <c r="A480" s="7">
        <v>44120.84202866898</v>
      </c>
      <c r="B480" s="8" t="s">
        <v>126</v>
      </c>
      <c r="C480" s="8">
        <v>21927.0</v>
      </c>
      <c r="D480" s="8" t="s">
        <v>27</v>
      </c>
      <c r="E480" s="8" t="s">
        <v>57</v>
      </c>
      <c r="G480" s="8">
        <v>3252.0</v>
      </c>
      <c r="H480" s="8" t="s">
        <v>29</v>
      </c>
      <c r="I480" s="8" t="s">
        <v>96</v>
      </c>
      <c r="L480" s="8" t="s">
        <v>31</v>
      </c>
      <c r="M480" s="8" t="s">
        <v>34</v>
      </c>
      <c r="P480" s="9">
        <v>44119.0</v>
      </c>
      <c r="Q480" s="10">
        <v>0.010416666664241347</v>
      </c>
      <c r="R480" s="11" t="str">
        <f t="shared" si="1"/>
        <v>Настройка линии Primary</v>
      </c>
      <c r="S480" s="16" t="str">
        <f>iferror(VLOOKUP(C480,'ФИО'!A:B,2,0),"учётный код не найден")</f>
        <v>Шергин Родион Олегович</v>
      </c>
      <c r="T480" s="13" t="str">
        <f t="shared" si="2"/>
        <v>915-00096.A - ПКД-8В-2 АСЛБ.467249.109</v>
      </c>
      <c r="U480" s="8">
        <v>0.0</v>
      </c>
      <c r="V480" s="8">
        <v>0.0</v>
      </c>
      <c r="W480" s="17" t="str">
        <f t="shared" si="53"/>
        <v>Данные не заполены</v>
      </c>
      <c r="X480" s="14" t="str">
        <f t="shared" si="31"/>
        <v>Данные не заполены</v>
      </c>
    </row>
    <row r="481" hidden="1">
      <c r="A481" s="7">
        <v>44121.332400416664</v>
      </c>
      <c r="B481" s="8" t="s">
        <v>126</v>
      </c>
      <c r="C481" s="8">
        <v>21927.0</v>
      </c>
      <c r="D481" s="8" t="s">
        <v>27</v>
      </c>
      <c r="E481" s="8" t="s">
        <v>57</v>
      </c>
      <c r="G481" s="8">
        <v>3754.0</v>
      </c>
      <c r="H481" s="8" t="s">
        <v>45</v>
      </c>
      <c r="K481" s="8" t="s">
        <v>119</v>
      </c>
      <c r="L481" s="8" t="s">
        <v>31</v>
      </c>
      <c r="M481" s="8" t="s">
        <v>34</v>
      </c>
      <c r="P481" s="9">
        <v>44120.0</v>
      </c>
      <c r="Q481" s="10">
        <v>0.020833333335758653</v>
      </c>
      <c r="R481" s="11" t="str">
        <f t="shared" si="1"/>
        <v>Настройка линии Primary</v>
      </c>
      <c r="S481" s="16" t="str">
        <f>iferror(VLOOKUP(C481,'ФИО'!A:B,2,0),"учётный код не найден")</f>
        <v>Шергин Родион Олегович</v>
      </c>
      <c r="T481" s="13" t="str">
        <f t="shared" si="2"/>
        <v>ПУ 910-00134.B (A96 модуль 2CAN+2LIN)</v>
      </c>
      <c r="U481" s="8">
        <v>0.0</v>
      </c>
      <c r="V481" s="8">
        <v>0.0</v>
      </c>
      <c r="W481" s="17" t="str">
        <f t="shared" si="53"/>
        <v>Данные не заполены</v>
      </c>
      <c r="X481" s="14" t="str">
        <f t="shared" si="31"/>
        <v>Данные не заполены</v>
      </c>
      <c r="Y481" s="15">
        <f t="shared" ref="Y481:Y629" si="54">iferror((V481/if(U481=0,1,U481)),0)</f>
        <v>0</v>
      </c>
    </row>
    <row r="482" hidden="1">
      <c r="A482" s="7">
        <v>44109.35578924768</v>
      </c>
      <c r="B482" s="8" t="s">
        <v>127</v>
      </c>
      <c r="C482" s="8">
        <v>21927.0</v>
      </c>
      <c r="D482" s="8" t="s">
        <v>27</v>
      </c>
      <c r="E482" s="8" t="s">
        <v>66</v>
      </c>
      <c r="G482" s="8">
        <v>3233.0</v>
      </c>
      <c r="H482" s="8" t="s">
        <v>29</v>
      </c>
      <c r="I482" s="8" t="s">
        <v>60</v>
      </c>
      <c r="L482" s="8" t="s">
        <v>31</v>
      </c>
      <c r="M482" s="8" t="s">
        <v>34</v>
      </c>
      <c r="N482" s="8"/>
      <c r="O482" s="8"/>
      <c r="P482" s="9">
        <v>44108.0</v>
      </c>
      <c r="Q482" s="10">
        <v>0.08333333333575865</v>
      </c>
      <c r="R482" s="11" t="str">
        <f t="shared" si="1"/>
        <v>Проверка первой платы до оплавления</v>
      </c>
      <c r="S482" s="16" t="str">
        <f>iferror(VLOOKUP(C482,'ФИО'!A:B,2,0),"учётный код не найден")</f>
        <v>Шергин Родион Олегович</v>
      </c>
      <c r="T482" s="11" t="str">
        <f t="shared" si="2"/>
        <v>915-00102.A - ПБОК-2В АСЛБ.465285.013 (Квант)</v>
      </c>
      <c r="U482" s="8">
        <v>0.0</v>
      </c>
      <c r="V482" s="8">
        <v>0.0</v>
      </c>
      <c r="W482" s="21" t="str">
        <f t="shared" si="53"/>
        <v>Данные не заполены</v>
      </c>
      <c r="X482" s="15" t="str">
        <f t="shared" si="31"/>
        <v>Данные не заполены</v>
      </c>
      <c r="Y482" s="15">
        <f t="shared" si="54"/>
        <v>0</v>
      </c>
    </row>
    <row r="483" hidden="1">
      <c r="A483" s="7">
        <v>44128.32966722222</v>
      </c>
      <c r="B483" s="8" t="s">
        <v>126</v>
      </c>
      <c r="C483" s="8">
        <v>21927.0</v>
      </c>
      <c r="D483" s="8" t="s">
        <v>27</v>
      </c>
      <c r="E483" s="8" t="s">
        <v>121</v>
      </c>
      <c r="G483" s="8">
        <v>3804.0</v>
      </c>
      <c r="H483" s="8" t="s">
        <v>45</v>
      </c>
      <c r="K483" s="8" t="s">
        <v>52</v>
      </c>
      <c r="L483" s="8" t="s">
        <v>31</v>
      </c>
      <c r="M483" s="8" t="s">
        <v>34</v>
      </c>
      <c r="P483" s="9">
        <v>44127.0</v>
      </c>
      <c r="Q483" s="10">
        <v>0.020833333335758653</v>
      </c>
      <c r="R483" s="11" t="str">
        <f t="shared" si="1"/>
        <v>Настройка линии Secondary</v>
      </c>
      <c r="S483" s="16" t="str">
        <f>iferror(VLOOKUP(C483,'ФИО'!A:B,2,0),"учётный код не найден")</f>
        <v>Шергин Родион Олегович</v>
      </c>
      <c r="T483" s="13" t="str">
        <f t="shared" si="2"/>
        <v>М17V2 (900-00018.D)_910-00023.H и ПУ 910-00012.I</v>
      </c>
      <c r="U483" s="8">
        <v>0.0</v>
      </c>
      <c r="V483" s="8">
        <v>0.0</v>
      </c>
      <c r="W483" s="17" t="str">
        <f t="shared" si="53"/>
        <v>Данные не заполены</v>
      </c>
      <c r="X483" s="14" t="str">
        <f t="shared" si="31"/>
        <v>Данные не заполены</v>
      </c>
      <c r="Y483" s="15">
        <f t="shared" si="54"/>
        <v>0</v>
      </c>
    </row>
    <row r="484" hidden="1">
      <c r="A484" s="7">
        <v>44128.32309515047</v>
      </c>
      <c r="B484" s="8" t="s">
        <v>126</v>
      </c>
      <c r="C484" s="8">
        <v>22574.0</v>
      </c>
      <c r="D484" s="8" t="s">
        <v>27</v>
      </c>
      <c r="E484" s="8" t="s">
        <v>121</v>
      </c>
      <c r="G484" s="8">
        <v>3804.0</v>
      </c>
      <c r="H484" s="8" t="s">
        <v>45</v>
      </c>
      <c r="K484" s="8" t="s">
        <v>52</v>
      </c>
      <c r="L484" s="8" t="s">
        <v>31</v>
      </c>
      <c r="M484" s="8" t="s">
        <v>34</v>
      </c>
      <c r="P484" s="9">
        <v>44127.0</v>
      </c>
      <c r="Q484" s="10">
        <v>0.020833333335758653</v>
      </c>
      <c r="R484" s="11" t="str">
        <f t="shared" si="1"/>
        <v>Настройка линии Secondary</v>
      </c>
      <c r="S484" s="16" t="str">
        <f>iferror(VLOOKUP(C484,'ФИО'!A:B,2,0),"учётный код не найден")</f>
        <v>Шапенков Геннадий Михайлович</v>
      </c>
      <c r="T484" s="13" t="str">
        <f t="shared" si="2"/>
        <v>М17V2 (900-00018.D)_910-00023.H и ПУ 910-00012.I</v>
      </c>
      <c r="U484" s="8">
        <v>0.0</v>
      </c>
      <c r="V484" s="8">
        <v>0.0</v>
      </c>
      <c r="W484" s="17" t="str">
        <f t="shared" si="53"/>
        <v>Данные не заполены</v>
      </c>
      <c r="X484" s="14" t="str">
        <f t="shared" si="31"/>
        <v>Данные не заполены</v>
      </c>
      <c r="Y484" s="15">
        <f t="shared" si="54"/>
        <v>0</v>
      </c>
    </row>
    <row r="485" hidden="1">
      <c r="A485" s="7">
        <v>44117.800929687495</v>
      </c>
      <c r="B485" s="8" t="s">
        <v>127</v>
      </c>
      <c r="C485" s="8">
        <v>21927.0</v>
      </c>
      <c r="D485" s="8" t="s">
        <v>27</v>
      </c>
      <c r="E485" s="8" t="s">
        <v>66</v>
      </c>
      <c r="G485" s="8">
        <v>3622.0</v>
      </c>
      <c r="H485" s="8" t="s">
        <v>29</v>
      </c>
      <c r="I485" s="8" t="s">
        <v>90</v>
      </c>
      <c r="L485" s="8" t="s">
        <v>31</v>
      </c>
      <c r="M485" s="8" t="s">
        <v>34</v>
      </c>
      <c r="P485" s="9">
        <v>44117.0</v>
      </c>
      <c r="Q485" s="10">
        <v>0.020833333335758653</v>
      </c>
      <c r="R485" s="11" t="str">
        <f t="shared" si="1"/>
        <v>Проверка первой платы до оплавления</v>
      </c>
      <c r="S485" s="16" t="str">
        <f>iferror(VLOOKUP(C485,'ФИО'!A:B,2,0),"учётный код не найден")</f>
        <v>Шергин Родион Олегович</v>
      </c>
      <c r="T485" s="11" t="str">
        <f t="shared" si="2"/>
        <v>915-00124.A - Tioga Pass_v1.1 (Гагар.ин)</v>
      </c>
      <c r="U485" s="8">
        <v>1.0</v>
      </c>
      <c r="V485" s="8">
        <v>0.0</v>
      </c>
      <c r="W485" s="17" t="str">
        <f t="shared" si="53"/>
        <v>Данные не заполены</v>
      </c>
      <c r="X485" s="14" t="str">
        <f t="shared" si="31"/>
        <v>Данные не заполены</v>
      </c>
      <c r="Y485" s="15">
        <f t="shared" si="54"/>
        <v>0</v>
      </c>
    </row>
    <row r="486" hidden="1">
      <c r="A486" s="7">
        <v>44112.350446620374</v>
      </c>
      <c r="B486" s="8" t="s">
        <v>126</v>
      </c>
      <c r="C486" s="8">
        <v>22063.0</v>
      </c>
      <c r="D486" s="8" t="s">
        <v>27</v>
      </c>
      <c r="E486" s="8" t="s">
        <v>101</v>
      </c>
      <c r="G486" s="8">
        <v>3238.0</v>
      </c>
      <c r="H486" s="8" t="s">
        <v>29</v>
      </c>
      <c r="I486" s="8" t="s">
        <v>43</v>
      </c>
      <c r="L486" s="8" t="s">
        <v>31</v>
      </c>
      <c r="M486" s="8" t="s">
        <v>34</v>
      </c>
      <c r="N486" s="8"/>
      <c r="O486" s="8"/>
      <c r="P486" s="9">
        <v>44111.0</v>
      </c>
      <c r="Q486" s="10">
        <v>0.027777777781011537</v>
      </c>
      <c r="R486" s="11" t="str">
        <f t="shared" si="1"/>
        <v>Настройка принтера Prim</v>
      </c>
      <c r="S486" s="16" t="str">
        <f>iferror(VLOOKUP(C486,'ФИО'!A:B,2,0),"учётный код не найден")</f>
        <v>Белоглазов Сергей Анатольевич</v>
      </c>
      <c r="T486" s="13" t="str">
        <f t="shared" si="2"/>
        <v>915-00097.A - ПКД-8В-3 АСЛБ.467249.110 (Квант)</v>
      </c>
      <c r="U486" s="8">
        <v>1.0</v>
      </c>
      <c r="V486" s="8">
        <v>0.0</v>
      </c>
      <c r="W486" s="21" t="str">
        <f t="shared" si="53"/>
        <v>Данные не заполены</v>
      </c>
      <c r="X486" s="15" t="str">
        <f t="shared" si="31"/>
        <v>Данные не заполены</v>
      </c>
      <c r="Y486" s="15">
        <f t="shared" si="54"/>
        <v>0</v>
      </c>
    </row>
    <row r="487" hidden="1">
      <c r="A487" s="7">
        <v>44112.324845428244</v>
      </c>
      <c r="B487" s="8" t="s">
        <v>126</v>
      </c>
      <c r="C487" s="8">
        <v>22574.0</v>
      </c>
      <c r="D487" s="8" t="s">
        <v>27</v>
      </c>
      <c r="E487" s="8" t="s">
        <v>101</v>
      </c>
      <c r="G487" s="8">
        <v>3238.0</v>
      </c>
      <c r="H487" s="8" t="s">
        <v>29</v>
      </c>
      <c r="I487" s="8" t="s">
        <v>43</v>
      </c>
      <c r="L487" s="8" t="s">
        <v>31</v>
      </c>
      <c r="M487" s="8" t="s">
        <v>34</v>
      </c>
      <c r="N487" s="8"/>
      <c r="O487" s="8"/>
      <c r="P487" s="9">
        <v>44111.0</v>
      </c>
      <c r="Q487" s="10">
        <v>0.020833333335758653</v>
      </c>
      <c r="R487" s="11" t="str">
        <f t="shared" si="1"/>
        <v>Настройка принтера Prim</v>
      </c>
      <c r="S487" s="16" t="str">
        <f>iferror(VLOOKUP(C487,'ФИО'!A:B,2,0),"учётный код не найден")</f>
        <v>Шапенков Геннадий Михайлович</v>
      </c>
      <c r="T487" s="13" t="str">
        <f t="shared" si="2"/>
        <v>915-00097.A - ПКД-8В-3 АСЛБ.467249.110 (Квант)</v>
      </c>
      <c r="U487" s="8">
        <v>1.0</v>
      </c>
      <c r="V487" s="8">
        <v>0.0</v>
      </c>
      <c r="W487" s="21" t="str">
        <f t="shared" si="53"/>
        <v>Данные не заполены</v>
      </c>
      <c r="X487" s="15" t="str">
        <f t="shared" si="31"/>
        <v>Данные не заполены</v>
      </c>
      <c r="Y487" s="15">
        <f t="shared" si="54"/>
        <v>0</v>
      </c>
    </row>
    <row r="488" hidden="1">
      <c r="A488" s="7">
        <v>44105.84550109954</v>
      </c>
      <c r="B488" s="8" t="s">
        <v>26</v>
      </c>
      <c r="C488" s="8">
        <v>21475.0</v>
      </c>
      <c r="D488" s="18" t="s">
        <v>69</v>
      </c>
      <c r="F488" s="8" t="s">
        <v>72</v>
      </c>
      <c r="G488" s="18">
        <v>3370.0</v>
      </c>
      <c r="H488" s="8" t="s">
        <v>29</v>
      </c>
      <c r="I488" s="8" t="s">
        <v>73</v>
      </c>
      <c r="L488" s="18" t="s">
        <v>37</v>
      </c>
      <c r="P488" s="19">
        <v>44105.0</v>
      </c>
      <c r="Q488" s="20">
        <v>0.04166666666424135</v>
      </c>
      <c r="R488" s="13" t="str">
        <f t="shared" si="1"/>
        <v>Пайка компонентов PRI</v>
      </c>
      <c r="S488" s="16" t="str">
        <f>iferror(VLOOKUP(C488,'ФИО'!A:B,2,0),"учётный код не найден")</f>
        <v>Байрамашвили Альберт Зурабович</v>
      </c>
      <c r="T488" s="13" t="str">
        <f t="shared" si="2"/>
        <v>915-00114.A - ПБЭС-37П АСЛБ.467291.010-01 (Квант)</v>
      </c>
      <c r="U488" s="8">
        <v>0.0</v>
      </c>
      <c r="V488" s="8">
        <v>0.0</v>
      </c>
      <c r="W488" s="21" t="str">
        <f t="shared" si="53"/>
        <v>Данные не заполены</v>
      </c>
      <c r="X488" s="15" t="str">
        <f t="shared" si="31"/>
        <v>Данные не заполены</v>
      </c>
      <c r="Y488" s="15">
        <f t="shared" si="54"/>
        <v>0</v>
      </c>
    </row>
    <row r="489" hidden="1">
      <c r="A489" s="7">
        <v>44113.81727103009</v>
      </c>
      <c r="B489" s="8" t="s">
        <v>26</v>
      </c>
      <c r="C489" s="8">
        <v>21475.0</v>
      </c>
      <c r="D489" s="8" t="s">
        <v>69</v>
      </c>
      <c r="F489" s="8" t="s">
        <v>72</v>
      </c>
      <c r="G489" s="8">
        <v>3579.0</v>
      </c>
      <c r="H489" s="8" t="s">
        <v>29</v>
      </c>
      <c r="I489" s="8" t="s">
        <v>42</v>
      </c>
      <c r="L489" s="8" t="s">
        <v>37</v>
      </c>
      <c r="P489" s="9">
        <v>44113.0</v>
      </c>
      <c r="Q489" s="10">
        <v>0.08333333333575865</v>
      </c>
      <c r="R489" s="11" t="str">
        <f t="shared" si="1"/>
        <v>Пайка компонентов PRI</v>
      </c>
      <c r="S489" s="16" t="str">
        <f>iferror(VLOOKUP(C489,'ФИО'!A:B,2,0),"учётный код не найден")</f>
        <v>Байрамашвили Альберт Зурабович</v>
      </c>
      <c r="T489" s="13" t="str">
        <f t="shared" si="2"/>
        <v>915-00070.A - Модуль телематики ТМ1 v3 (Сознательные машины)</v>
      </c>
      <c r="U489" s="8">
        <v>0.0</v>
      </c>
      <c r="V489" s="8">
        <v>0.0</v>
      </c>
      <c r="W489" s="21" t="str">
        <f t="shared" si="53"/>
        <v>Данные не заполены</v>
      </c>
      <c r="X489" s="15" t="str">
        <f t="shared" si="31"/>
        <v>Данные не заполены</v>
      </c>
      <c r="Y489" s="15">
        <f t="shared" si="54"/>
        <v>0</v>
      </c>
    </row>
    <row r="490" hidden="1">
      <c r="A490" s="7">
        <v>44121.8265611574</v>
      </c>
      <c r="B490" s="8" t="s">
        <v>26</v>
      </c>
      <c r="C490" s="8">
        <v>21803.0</v>
      </c>
      <c r="D490" s="8" t="s">
        <v>69</v>
      </c>
      <c r="F490" s="8" t="s">
        <v>72</v>
      </c>
      <c r="G490" s="8">
        <v>3579.0</v>
      </c>
      <c r="H490" s="8" t="s">
        <v>29</v>
      </c>
      <c r="I490" s="8" t="s">
        <v>42</v>
      </c>
      <c r="L490" s="8" t="s">
        <v>31</v>
      </c>
      <c r="M490" s="8" t="s">
        <v>34</v>
      </c>
      <c r="P490" s="9">
        <v>44121.0</v>
      </c>
      <c r="Q490" s="10">
        <v>0.10416666666424135</v>
      </c>
      <c r="R490" s="11" t="str">
        <f t="shared" si="1"/>
        <v>Пайка компонентов PRI</v>
      </c>
      <c r="S490" s="16" t="str">
        <f>iferror(VLOOKUP(C490,'ФИО'!A:B,2,0),"учётный код не найден")</f>
        <v>Белоглазова Виктория Сергеевна</v>
      </c>
      <c r="T490" s="13" t="str">
        <f t="shared" si="2"/>
        <v>915-00070.A - Модуль телематики ТМ1 v3 (Сознательные машины)</v>
      </c>
      <c r="U490" s="8">
        <v>0.0</v>
      </c>
      <c r="V490" s="8">
        <v>0.0</v>
      </c>
      <c r="W490" s="17" t="str">
        <f t="shared" si="53"/>
        <v>Данные не заполены</v>
      </c>
      <c r="X490" s="14" t="str">
        <f t="shared" si="31"/>
        <v>Данные не заполены</v>
      </c>
      <c r="Y490" s="15">
        <f t="shared" si="54"/>
        <v>0</v>
      </c>
    </row>
    <row r="491" hidden="1">
      <c r="A491" s="7">
        <v>44113.822556342595</v>
      </c>
      <c r="B491" s="8" t="s">
        <v>26</v>
      </c>
      <c r="C491" s="8">
        <v>21475.0</v>
      </c>
      <c r="D491" s="8" t="s">
        <v>69</v>
      </c>
      <c r="F491" s="8" t="s">
        <v>72</v>
      </c>
      <c r="G491" s="8">
        <v>3580.0</v>
      </c>
      <c r="H491" s="8" t="s">
        <v>29</v>
      </c>
      <c r="I491" s="8" t="s">
        <v>145</v>
      </c>
      <c r="L491" s="8" t="s">
        <v>37</v>
      </c>
      <c r="P491" s="9">
        <v>44113.0</v>
      </c>
      <c r="Q491" s="10">
        <v>0.04166666666424135</v>
      </c>
      <c r="R491" s="11" t="str">
        <f t="shared" si="1"/>
        <v>Пайка компонентов PRI</v>
      </c>
      <c r="S491" s="16" t="str">
        <f>iferror(VLOOKUP(C491,'ФИО'!A:B,2,0),"учётный код не найден")</f>
        <v>Байрамашвили Альберт Зурабович</v>
      </c>
      <c r="T491" s="13" t="str">
        <f t="shared" si="2"/>
        <v>XR (OÜ KLARBERG)</v>
      </c>
      <c r="U491" s="8">
        <v>0.0</v>
      </c>
      <c r="V491" s="8">
        <v>0.0</v>
      </c>
      <c r="W491" s="21" t="str">
        <f t="shared" si="53"/>
        <v>Данные не заполены</v>
      </c>
      <c r="X491" s="15" t="str">
        <f t="shared" si="31"/>
        <v>Данные не заполены</v>
      </c>
      <c r="Y491" s="15">
        <f t="shared" si="54"/>
        <v>0</v>
      </c>
    </row>
    <row r="492">
      <c r="A492" s="7">
        <v>44121.82759914352</v>
      </c>
      <c r="B492" s="8" t="s">
        <v>26</v>
      </c>
      <c r="C492" s="8">
        <v>21803.0</v>
      </c>
      <c r="D492" s="8" t="s">
        <v>69</v>
      </c>
      <c r="F492" s="8" t="s">
        <v>72</v>
      </c>
      <c r="G492" s="8">
        <v>3750.0</v>
      </c>
      <c r="H492" s="8" t="s">
        <v>45</v>
      </c>
      <c r="K492" s="8" t="s">
        <v>46</v>
      </c>
      <c r="L492" s="8" t="s">
        <v>37</v>
      </c>
      <c r="P492" s="9">
        <v>44121.0</v>
      </c>
      <c r="Q492" s="10">
        <v>0.0625</v>
      </c>
      <c r="R492" s="11" t="str">
        <f t="shared" si="1"/>
        <v>Пайка компонентов PRI</v>
      </c>
      <c r="S492" s="16" t="str">
        <f>iferror(VLOOKUP(C492,'ФИО'!A:B,2,0),"учётный код не найден")</f>
        <v>Белоглазова Виктория Сергеевна</v>
      </c>
      <c r="T492" s="13" t="str">
        <f t="shared" si="2"/>
        <v>ПУ 910-00349.A "Печатный узел основного блока E96 4LIN"</v>
      </c>
      <c r="U492" s="8">
        <v>0.0</v>
      </c>
      <c r="V492" s="8">
        <v>0.0</v>
      </c>
      <c r="W492" s="17" t="str">
        <f t="shared" si="53"/>
        <v>Данные не заполены</v>
      </c>
      <c r="X492" s="14" t="str">
        <f t="shared" si="31"/>
        <v>Данные не заполены</v>
      </c>
      <c r="Y492" s="15">
        <f t="shared" si="54"/>
        <v>0</v>
      </c>
    </row>
    <row r="493" hidden="1">
      <c r="A493" s="7">
        <v>44120.82183917824</v>
      </c>
      <c r="B493" s="8" t="s">
        <v>26</v>
      </c>
      <c r="C493" s="8">
        <v>21803.0</v>
      </c>
      <c r="D493" s="8" t="s">
        <v>69</v>
      </c>
      <c r="F493" s="8" t="s">
        <v>80</v>
      </c>
      <c r="G493" s="8">
        <v>2796.0</v>
      </c>
      <c r="H493" s="8" t="s">
        <v>29</v>
      </c>
      <c r="I493" s="8" t="s">
        <v>183</v>
      </c>
      <c r="L493" s="8" t="s">
        <v>37</v>
      </c>
      <c r="P493" s="9">
        <v>44120.0</v>
      </c>
      <c r="Q493" s="10">
        <v>0.020833333335758653</v>
      </c>
      <c r="R493" s="11" t="str">
        <f t="shared" si="1"/>
        <v>Пайка компонентов SEC</v>
      </c>
      <c r="S493" s="16" t="str">
        <f>iferror(VLOOKUP(C493,'ФИО'!A:B,2,0),"учётный код не найден")</f>
        <v>Белоглазова Виктория Сергеевна</v>
      </c>
      <c r="T493" s="13" t="str">
        <f t="shared" si="2"/>
        <v>IKZ_35_v1_1-ANALOG (Антракс)</v>
      </c>
      <c r="U493" s="8">
        <v>0.0</v>
      </c>
      <c r="V493" s="8">
        <v>0.0</v>
      </c>
      <c r="W493" s="17" t="str">
        <f t="shared" si="53"/>
        <v>Данные не заполены</v>
      </c>
      <c r="X493" s="14" t="str">
        <f t="shared" si="31"/>
        <v>Данные не заполены</v>
      </c>
      <c r="Y493" s="15">
        <f t="shared" si="54"/>
        <v>0</v>
      </c>
    </row>
    <row r="494" hidden="1">
      <c r="A494" s="7">
        <v>44105.81191405092</v>
      </c>
      <c r="B494" s="8" t="s">
        <v>26</v>
      </c>
      <c r="C494" s="8">
        <v>21803.0</v>
      </c>
      <c r="D494" s="18" t="s">
        <v>27</v>
      </c>
      <c r="E494" s="8" t="s">
        <v>182</v>
      </c>
      <c r="G494" s="18">
        <v>3579.0</v>
      </c>
      <c r="H494" s="8" t="s">
        <v>29</v>
      </c>
      <c r="I494" s="8" t="s">
        <v>42</v>
      </c>
      <c r="L494" s="18" t="s">
        <v>31</v>
      </c>
      <c r="M494" s="8" t="s">
        <v>34</v>
      </c>
      <c r="P494" s="19">
        <v>44105.0</v>
      </c>
      <c r="Q494" s="20">
        <v>0.020833333335758653</v>
      </c>
      <c r="R494" s="13" t="str">
        <f t="shared" si="1"/>
        <v>Подготовка компонентов к зарядке</v>
      </c>
      <c r="S494" s="16" t="str">
        <f>iferror(VLOOKUP(C494,'ФИО'!A:B,2,0),"учётный код не найден")</f>
        <v>Белоглазова Виктория Сергеевна</v>
      </c>
      <c r="T494" s="13" t="str">
        <f t="shared" si="2"/>
        <v>915-00070.A - Модуль телематики ТМ1 v3 (Сознательные машины)</v>
      </c>
      <c r="U494" s="8">
        <v>0.0</v>
      </c>
      <c r="V494" s="8">
        <v>0.0</v>
      </c>
      <c r="W494" s="21" t="str">
        <f t="shared" si="53"/>
        <v>Данные не заполены</v>
      </c>
      <c r="X494" s="15" t="str">
        <f t="shared" si="31"/>
        <v>Данные не заполены</v>
      </c>
      <c r="Y494" s="15">
        <f t="shared" si="54"/>
        <v>0</v>
      </c>
    </row>
    <row r="495" hidden="1">
      <c r="A495" s="7">
        <v>44117.32627466435</v>
      </c>
      <c r="B495" s="8" t="s">
        <v>38</v>
      </c>
      <c r="C495" s="8">
        <v>21803.0</v>
      </c>
      <c r="D495" s="8" t="s">
        <v>27</v>
      </c>
      <c r="E495" s="8" t="s">
        <v>182</v>
      </c>
      <c r="G495" s="8">
        <v>3622.0</v>
      </c>
      <c r="H495" s="8" t="s">
        <v>29</v>
      </c>
      <c r="I495" s="8" t="s">
        <v>90</v>
      </c>
      <c r="L495" s="8" t="s">
        <v>31</v>
      </c>
      <c r="M495" s="8" t="s">
        <v>34</v>
      </c>
      <c r="N495" s="8"/>
      <c r="O495" s="8"/>
      <c r="P495" s="9">
        <v>44116.0</v>
      </c>
      <c r="Q495" s="10">
        <v>0.14583333333575865</v>
      </c>
      <c r="R495" s="11" t="str">
        <f t="shared" si="1"/>
        <v>Подготовка компонентов к зарядке</v>
      </c>
      <c r="S495" s="16" t="str">
        <f>iferror(VLOOKUP(C495,'ФИО'!A:B,2,0),"учётный код не найден")</f>
        <v>Белоглазова Виктория Сергеевна</v>
      </c>
      <c r="T495" s="13" t="str">
        <f t="shared" si="2"/>
        <v>915-00124.A - Tioga Pass_v1.1 (Гагар.ин)</v>
      </c>
      <c r="U495" s="8">
        <v>0.0</v>
      </c>
      <c r="V495" s="8">
        <v>0.0</v>
      </c>
      <c r="W495" s="21" t="str">
        <f t="shared" si="53"/>
        <v>Данные не заполены</v>
      </c>
      <c r="X495" s="15" t="str">
        <f t="shared" si="31"/>
        <v>Данные не заполены</v>
      </c>
      <c r="Y495" s="15">
        <f t="shared" si="54"/>
        <v>0</v>
      </c>
      <c r="Z495" s="8" t="s">
        <v>184</v>
      </c>
    </row>
    <row r="496" hidden="1">
      <c r="A496" s="7">
        <v>44120.826778206014</v>
      </c>
      <c r="B496" s="8" t="s">
        <v>26</v>
      </c>
      <c r="C496" s="8">
        <v>21803.0</v>
      </c>
      <c r="D496" s="8" t="s">
        <v>27</v>
      </c>
      <c r="E496" s="8" t="s">
        <v>182</v>
      </c>
      <c r="G496" s="8">
        <v>3649.0</v>
      </c>
      <c r="H496" s="8" t="s">
        <v>29</v>
      </c>
      <c r="I496" s="8" t="s">
        <v>33</v>
      </c>
      <c r="L496" s="8" t="s">
        <v>31</v>
      </c>
      <c r="M496" s="8" t="s">
        <v>34</v>
      </c>
      <c r="P496" s="9">
        <v>44120.0</v>
      </c>
      <c r="Q496" s="10">
        <v>0.013888888890505768</v>
      </c>
      <c r="R496" s="11" t="str">
        <f t="shared" si="1"/>
        <v>Подготовка компонентов к зарядке</v>
      </c>
      <c r="S496" s="16" t="str">
        <f>iferror(VLOOKUP(C496,'ФИО'!A:B,2,0),"учётный код не найден")</f>
        <v>Белоглазова Виктория Сергеевна</v>
      </c>
      <c r="T496" s="13" t="str">
        <f t="shared" si="2"/>
        <v>ssfp2.2 (Метротек)</v>
      </c>
      <c r="U496" s="8">
        <v>0.0</v>
      </c>
      <c r="V496" s="8">
        <v>0.0</v>
      </c>
      <c r="W496" s="17" t="str">
        <f t="shared" si="53"/>
        <v>Данные не заполены</v>
      </c>
      <c r="X496" s="14" t="str">
        <f t="shared" si="31"/>
        <v>Данные не заполены</v>
      </c>
      <c r="Y496" s="15">
        <f t="shared" si="54"/>
        <v>0</v>
      </c>
    </row>
    <row r="497">
      <c r="A497" s="7">
        <v>44117.32269047454</v>
      </c>
      <c r="B497" s="8" t="s">
        <v>38</v>
      </c>
      <c r="C497" s="8">
        <v>21475.0</v>
      </c>
      <c r="D497" s="8" t="s">
        <v>69</v>
      </c>
      <c r="F497" s="8" t="s">
        <v>72</v>
      </c>
      <c r="G497" s="8">
        <v>3750.0</v>
      </c>
      <c r="H497" s="8" t="s">
        <v>45</v>
      </c>
      <c r="K497" s="8" t="s">
        <v>46</v>
      </c>
      <c r="L497" s="8" t="s">
        <v>37</v>
      </c>
      <c r="P497" s="9">
        <v>44116.0</v>
      </c>
      <c r="Q497" s="10">
        <v>0.16666666666424135</v>
      </c>
      <c r="R497" s="11" t="str">
        <f t="shared" si="1"/>
        <v>Пайка компонентов PRI</v>
      </c>
      <c r="S497" s="16" t="str">
        <f>iferror(VLOOKUP(C497,'ФИО'!A:B,2,0),"учётный код не найден")</f>
        <v>Байрамашвили Альберт Зурабович</v>
      </c>
      <c r="T497" s="13" t="str">
        <f t="shared" si="2"/>
        <v>ПУ 910-00349.A "Печатный узел основного блока E96 4LIN"</v>
      </c>
      <c r="U497" s="8">
        <v>0.0</v>
      </c>
      <c r="V497" s="8">
        <v>0.0</v>
      </c>
      <c r="W497" s="21" t="str">
        <f t="shared" si="53"/>
        <v>Данные не заполены</v>
      </c>
      <c r="X497" s="15" t="str">
        <f t="shared" si="31"/>
        <v>Данные не заполены</v>
      </c>
      <c r="Y497" s="15">
        <f t="shared" si="54"/>
        <v>0</v>
      </c>
    </row>
    <row r="498" hidden="1">
      <c r="A498" s="7">
        <v>44112.817469745365</v>
      </c>
      <c r="B498" s="8" t="s">
        <v>26</v>
      </c>
      <c r="C498" s="8">
        <v>21803.0</v>
      </c>
      <c r="D498" s="8" t="s">
        <v>69</v>
      </c>
      <c r="F498" s="8" t="s">
        <v>185</v>
      </c>
      <c r="G498" s="8">
        <v>3234.0</v>
      </c>
      <c r="H498" s="8" t="s">
        <v>29</v>
      </c>
      <c r="I498" s="8" t="s">
        <v>135</v>
      </c>
      <c r="L498" s="8" t="s">
        <v>31</v>
      </c>
      <c r="M498" s="8" t="s">
        <v>34</v>
      </c>
      <c r="N498" s="8"/>
      <c r="O498" s="8"/>
      <c r="P498" s="9">
        <v>44112.0</v>
      </c>
      <c r="Q498" s="10">
        <v>0.027777777781011537</v>
      </c>
      <c r="R498" s="11" t="str">
        <f t="shared" si="1"/>
        <v>Подготовка компонентов к пайке</v>
      </c>
      <c r="S498" s="16" t="str">
        <f>iferror(VLOOKUP(C498,'ФИО'!A:B,2,0),"учётный код не найден")</f>
        <v>Белоглазова Виктория Сергеевна</v>
      </c>
      <c r="T498" s="13" t="str">
        <f t="shared" si="2"/>
        <v>915-00101.A - ПКД-9В АСЛБ.467249.107 (Квант)</v>
      </c>
      <c r="U498" s="8">
        <v>0.0</v>
      </c>
      <c r="V498" s="8">
        <v>0.0</v>
      </c>
      <c r="W498" s="21" t="str">
        <f t="shared" si="53"/>
        <v>Данные не заполены</v>
      </c>
      <c r="X498" s="15" t="str">
        <f t="shared" si="31"/>
        <v>Данные не заполены</v>
      </c>
      <c r="Y498" s="15">
        <f t="shared" si="54"/>
        <v>0</v>
      </c>
      <c r="Z498" s="8" t="s">
        <v>186</v>
      </c>
    </row>
    <row r="499" hidden="1">
      <c r="A499" s="7">
        <v>44120.82248028935</v>
      </c>
      <c r="B499" s="8" t="s">
        <v>26</v>
      </c>
      <c r="C499" s="8">
        <v>21803.0</v>
      </c>
      <c r="D499" s="8" t="s">
        <v>69</v>
      </c>
      <c r="F499" s="8" t="s">
        <v>185</v>
      </c>
      <c r="G499" s="8">
        <v>2796.0</v>
      </c>
      <c r="H499" s="8" t="s">
        <v>29</v>
      </c>
      <c r="I499" s="8" t="s">
        <v>183</v>
      </c>
      <c r="L499" s="8" t="s">
        <v>31</v>
      </c>
      <c r="M499" s="8" t="s">
        <v>34</v>
      </c>
      <c r="P499" s="9">
        <v>44120.0</v>
      </c>
      <c r="Q499" s="10">
        <v>0.020833333335758653</v>
      </c>
      <c r="R499" s="11" t="str">
        <f t="shared" si="1"/>
        <v>Подготовка компонентов к пайке</v>
      </c>
      <c r="S499" s="16" t="str">
        <f>iferror(VLOOKUP(C499,'ФИО'!A:B,2,0),"учётный код не найден")</f>
        <v>Белоглазова Виктория Сергеевна</v>
      </c>
      <c r="T499" s="13" t="str">
        <f t="shared" si="2"/>
        <v>IKZ_35_v1_1-ANALOG (Антракс)</v>
      </c>
      <c r="U499" s="8">
        <v>0.0</v>
      </c>
      <c r="V499" s="8">
        <v>0.0</v>
      </c>
      <c r="W499" s="17" t="str">
        <f t="shared" si="53"/>
        <v>Данные не заполены</v>
      </c>
      <c r="X499" s="14" t="str">
        <f t="shared" si="31"/>
        <v>Данные не заполены</v>
      </c>
      <c r="Y499" s="15">
        <f t="shared" si="54"/>
        <v>0</v>
      </c>
    </row>
    <row r="500" hidden="1">
      <c r="A500" s="7">
        <v>44129.82508178241</v>
      </c>
      <c r="B500" s="8" t="s">
        <v>26</v>
      </c>
      <c r="C500" s="8">
        <v>21522.0</v>
      </c>
      <c r="D500" s="8" t="s">
        <v>27</v>
      </c>
      <c r="E500" s="8" t="s">
        <v>85</v>
      </c>
      <c r="G500" s="8">
        <v>3621.0</v>
      </c>
      <c r="H500" s="8" t="s">
        <v>29</v>
      </c>
      <c r="I500" s="8" t="s">
        <v>54</v>
      </c>
      <c r="L500" s="8" t="s">
        <v>31</v>
      </c>
      <c r="M500" s="8" t="s">
        <v>34</v>
      </c>
      <c r="P500" s="9">
        <v>44129.0</v>
      </c>
      <c r="Q500" s="10">
        <v>0.020833333335758653</v>
      </c>
      <c r="R500" s="11" t="str">
        <f t="shared" si="1"/>
        <v>Очистка трафаретного принтера</v>
      </c>
      <c r="S500" s="12" t="str">
        <f>iferror(VLOOKUP(C500,'ФИО'!A:B,2,0),"учётный код не найден")</f>
        <v>Исаев Никита Дмитриевич</v>
      </c>
      <c r="T500" s="13" t="str">
        <f t="shared" si="2"/>
        <v>915-00121.A - Процессорный модуль РСЕН.469555.027 (КНС Групп)</v>
      </c>
      <c r="U500" s="8">
        <v>0.0</v>
      </c>
      <c r="V500" s="8">
        <v>0.0</v>
      </c>
      <c r="X500" s="14" t="str">
        <f t="shared" si="31"/>
        <v>Данные не заполены</v>
      </c>
      <c r="Y500" s="15">
        <f t="shared" si="54"/>
        <v>0</v>
      </c>
    </row>
    <row r="501" hidden="1">
      <c r="A501" s="7">
        <v>44129.824980590274</v>
      </c>
      <c r="B501" s="8" t="s">
        <v>26</v>
      </c>
      <c r="C501" s="8">
        <v>21522.0</v>
      </c>
      <c r="D501" s="8" t="s">
        <v>27</v>
      </c>
      <c r="E501" s="8" t="s">
        <v>85</v>
      </c>
      <c r="G501" s="8">
        <v>3804.0</v>
      </c>
      <c r="H501" s="8" t="s">
        <v>45</v>
      </c>
      <c r="K501" s="8" t="s">
        <v>52</v>
      </c>
      <c r="L501" s="8" t="s">
        <v>31</v>
      </c>
      <c r="M501" s="8" t="s">
        <v>34</v>
      </c>
      <c r="P501" s="9">
        <v>44129.0</v>
      </c>
      <c r="Q501" s="10">
        <v>0.020833333335758653</v>
      </c>
      <c r="R501" s="11" t="str">
        <f t="shared" si="1"/>
        <v>Очистка трафаретного принтера</v>
      </c>
      <c r="S501" s="12" t="str">
        <f>iferror(VLOOKUP(C501,'ФИО'!A:B,2,0),"учётный код не найден")</f>
        <v>Исаев Никита Дмитриевич</v>
      </c>
      <c r="T501" s="13" t="str">
        <f t="shared" si="2"/>
        <v>М17V2 (900-00018.D)_910-00023.H и ПУ 910-00012.I</v>
      </c>
      <c r="U501" s="8">
        <v>0.0</v>
      </c>
      <c r="V501" s="8">
        <v>0.0</v>
      </c>
      <c r="X501" s="14" t="str">
        <f t="shared" si="31"/>
        <v>Данные не заполены</v>
      </c>
      <c r="Y501" s="15">
        <f t="shared" si="54"/>
        <v>0</v>
      </c>
    </row>
    <row r="502" hidden="1">
      <c r="A502" s="7">
        <v>44133.316181030095</v>
      </c>
      <c r="B502" s="8" t="s">
        <v>38</v>
      </c>
      <c r="C502" s="8">
        <v>21522.0</v>
      </c>
      <c r="D502" s="8" t="s">
        <v>27</v>
      </c>
      <c r="E502" s="8" t="s">
        <v>85</v>
      </c>
      <c r="G502" s="8">
        <v>3802.0</v>
      </c>
      <c r="H502" s="8" t="s">
        <v>45</v>
      </c>
      <c r="K502" s="8" t="s">
        <v>120</v>
      </c>
      <c r="L502" s="8" t="s">
        <v>31</v>
      </c>
      <c r="M502" s="8" t="s">
        <v>34</v>
      </c>
      <c r="P502" s="9">
        <v>44132.0</v>
      </c>
      <c r="Q502" s="10">
        <v>0.013888888890505768</v>
      </c>
      <c r="R502" s="11" t="str">
        <f t="shared" si="1"/>
        <v>Очистка трафаретного принтера</v>
      </c>
      <c r="S502" s="12" t="str">
        <f>iferror(VLOOKUP(C502,'ФИО'!A:B,2,0),"учётный код не найден")</f>
        <v>Исаев Никита Дмитриевич</v>
      </c>
      <c r="T502" s="13" t="str">
        <f t="shared" si="2"/>
        <v>М15ECO (900-00030.С) 910-00034.C/910-00041.C</v>
      </c>
      <c r="U502" s="8">
        <v>0.0</v>
      </c>
      <c r="V502" s="8">
        <v>0.0</v>
      </c>
      <c r="X502" s="14" t="str">
        <f t="shared" si="31"/>
        <v>Данные не заполены</v>
      </c>
      <c r="Y502" s="15">
        <f t="shared" si="54"/>
        <v>0</v>
      </c>
    </row>
    <row r="503" hidden="1">
      <c r="A503" s="7">
        <v>44105.83200821759</v>
      </c>
      <c r="B503" s="8" t="s">
        <v>26</v>
      </c>
      <c r="C503" s="8">
        <v>21522.0</v>
      </c>
      <c r="D503" s="18" t="s">
        <v>69</v>
      </c>
      <c r="F503" s="8" t="s">
        <v>72</v>
      </c>
      <c r="G503" s="18">
        <v>3370.0</v>
      </c>
      <c r="H503" s="8" t="s">
        <v>29</v>
      </c>
      <c r="I503" s="8" t="s">
        <v>73</v>
      </c>
      <c r="L503" s="18" t="s">
        <v>37</v>
      </c>
      <c r="P503" s="19">
        <v>44105.0</v>
      </c>
      <c r="Q503" s="20">
        <v>0.04166666666424135</v>
      </c>
      <c r="R503" s="13" t="str">
        <f t="shared" si="1"/>
        <v>Пайка компонентов PRI</v>
      </c>
      <c r="S503" s="16" t="str">
        <f>iferror(VLOOKUP(C503,'ФИО'!A:B,2,0),"учётный код не найден")</f>
        <v>Исаев Никита Дмитриевич</v>
      </c>
      <c r="T503" s="13" t="str">
        <f t="shared" si="2"/>
        <v>915-00114.A - ПБЭС-37П АСЛБ.467291.010-01 (Квант)</v>
      </c>
      <c r="U503" s="8">
        <v>27.0</v>
      </c>
      <c r="V503" s="8">
        <v>0.0</v>
      </c>
      <c r="W503" s="21" t="str">
        <f t="shared" ref="W503:W504" si="55">IFERROR((((38412/(ifs(O503&lt;35,35,O503&gt;34,O503)/N503)*0.7))),"Данные не заполены")</f>
        <v>Данные не заполены</v>
      </c>
      <c r="X503" s="15" t="str">
        <f t="shared" si="31"/>
        <v>Данные не заполены</v>
      </c>
      <c r="Y503" s="15">
        <f t="shared" si="54"/>
        <v>0</v>
      </c>
    </row>
    <row r="504" hidden="1">
      <c r="A504" s="7">
        <v>44105.83047935185</v>
      </c>
      <c r="B504" s="8" t="s">
        <v>26</v>
      </c>
      <c r="C504" s="8">
        <v>21522.0</v>
      </c>
      <c r="D504" s="18" t="s">
        <v>69</v>
      </c>
      <c r="F504" s="8" t="s">
        <v>72</v>
      </c>
      <c r="G504" s="18">
        <v>3424.0</v>
      </c>
      <c r="H504" s="8" t="s">
        <v>29</v>
      </c>
      <c r="I504" s="8" t="s">
        <v>139</v>
      </c>
      <c r="L504" s="18" t="s">
        <v>37</v>
      </c>
      <c r="P504" s="19">
        <v>44105.0</v>
      </c>
      <c r="Q504" s="20">
        <v>0.10416666666424135</v>
      </c>
      <c r="R504" s="13" t="str">
        <f t="shared" si="1"/>
        <v>Пайка компонентов PRI</v>
      </c>
      <c r="S504" s="16" t="str">
        <f>iferror(VLOOKUP(C504,'ФИО'!A:B,2,0),"учётный код не найден")</f>
        <v>Исаев Никита Дмитриевич</v>
      </c>
      <c r="T504" s="13" t="str">
        <f t="shared" si="2"/>
        <v>ИПТ-СА-А1R-л (Гефест)</v>
      </c>
      <c r="U504" s="8">
        <v>35.0</v>
      </c>
      <c r="V504" s="8">
        <v>0.0</v>
      </c>
      <c r="W504" s="21" t="str">
        <f t="shared" si="55"/>
        <v>Данные не заполены</v>
      </c>
      <c r="X504" s="15" t="str">
        <f t="shared" si="31"/>
        <v>Данные не заполены</v>
      </c>
      <c r="Y504" s="15">
        <f t="shared" si="54"/>
        <v>0</v>
      </c>
    </row>
    <row r="505" hidden="1">
      <c r="A505" s="7">
        <v>44132.31584252315</v>
      </c>
      <c r="B505" s="8" t="s">
        <v>38</v>
      </c>
      <c r="C505" s="8">
        <v>21475.0</v>
      </c>
      <c r="D505" s="8" t="s">
        <v>69</v>
      </c>
      <c r="F505" s="8" t="s">
        <v>72</v>
      </c>
      <c r="G505" s="8">
        <v>3253.0</v>
      </c>
      <c r="H505" s="8" t="s">
        <v>29</v>
      </c>
      <c r="I505" s="8" t="s">
        <v>95</v>
      </c>
      <c r="L505" s="8" t="s">
        <v>37</v>
      </c>
      <c r="P505" s="9">
        <v>44131.0</v>
      </c>
      <c r="Q505" s="10">
        <v>0.08333333333575865</v>
      </c>
      <c r="R505" s="11" t="str">
        <f t="shared" si="1"/>
        <v>Пайка компонентов PRI</v>
      </c>
      <c r="S505" s="12" t="str">
        <f>iferror(VLOOKUP(C505,'ФИО'!A:B,2,0),"учётный код не найден")</f>
        <v>Байрамашвили Альберт Зурабович</v>
      </c>
      <c r="T505" s="13" t="str">
        <f t="shared" si="2"/>
        <v>915-00095.A - ПКД-8В-1 АСЛБ.467249.108 (Квант)</v>
      </c>
      <c r="U505" s="8">
        <v>0.0</v>
      </c>
      <c r="V505" s="8">
        <v>0.0</v>
      </c>
      <c r="X505" s="14" t="str">
        <f t="shared" si="31"/>
        <v>Данные не заполены</v>
      </c>
      <c r="Y505" s="15">
        <f t="shared" si="54"/>
        <v>0</v>
      </c>
    </row>
    <row r="506" hidden="1">
      <c r="A506" s="7">
        <v>44113.82036456019</v>
      </c>
      <c r="B506" s="8" t="s">
        <v>26</v>
      </c>
      <c r="C506" s="8">
        <v>20751.0</v>
      </c>
      <c r="D506" s="8" t="s">
        <v>27</v>
      </c>
      <c r="E506" s="8" t="s">
        <v>67</v>
      </c>
      <c r="G506" s="8">
        <v>3750.0</v>
      </c>
      <c r="H506" s="8" t="s">
        <v>45</v>
      </c>
      <c r="K506" s="8" t="s">
        <v>46</v>
      </c>
      <c r="L506" s="8" t="s">
        <v>37</v>
      </c>
      <c r="N506" s="8">
        <v>4.0</v>
      </c>
      <c r="O506" s="8">
        <v>61.0</v>
      </c>
      <c r="P506" s="9">
        <v>44113.0</v>
      </c>
      <c r="Q506" s="10">
        <v>0.09027777777777778</v>
      </c>
      <c r="R506" s="11" t="str">
        <f t="shared" si="1"/>
        <v>Сборка на линии Prim</v>
      </c>
      <c r="S506" s="22" t="s">
        <v>27</v>
      </c>
      <c r="T506" s="13" t="str">
        <f t="shared" si="2"/>
        <v>ПУ 910-00349.A "Печатный узел основного блока E96 4LIN"</v>
      </c>
      <c r="U506" s="8">
        <v>72.0</v>
      </c>
      <c r="V506" s="8">
        <v>0.0</v>
      </c>
      <c r="W506" s="21">
        <f t="shared" ref="W506:W507" si="56">IFERROR((((38412/(ifs(O506&lt;35,35,O506&gt;34,O506)/N506)*0.7))),"Данные не заполены")</f>
        <v>1763.17377</v>
      </c>
      <c r="X506" s="15">
        <f t="shared" si="31"/>
        <v>0.2073184547</v>
      </c>
      <c r="Y506" s="15">
        <f t="shared" si="54"/>
        <v>0</v>
      </c>
      <c r="Z506" s="8" t="s">
        <v>187</v>
      </c>
    </row>
    <row r="507">
      <c r="A507" s="7">
        <v>44121.83518516204</v>
      </c>
      <c r="B507" s="8" t="s">
        <v>26</v>
      </c>
      <c r="C507" s="8">
        <v>21475.0</v>
      </c>
      <c r="D507" s="8" t="s">
        <v>69</v>
      </c>
      <c r="F507" s="8" t="s">
        <v>72</v>
      </c>
      <c r="G507" s="8">
        <v>3750.0</v>
      </c>
      <c r="H507" s="8" t="s">
        <v>45</v>
      </c>
      <c r="K507" s="8" t="s">
        <v>46</v>
      </c>
      <c r="L507" s="8" t="s">
        <v>37</v>
      </c>
      <c r="P507" s="9">
        <v>44121.0</v>
      </c>
      <c r="Q507" s="10">
        <v>0.14583333333575865</v>
      </c>
      <c r="R507" s="11" t="str">
        <f t="shared" si="1"/>
        <v>Пайка компонентов PRI</v>
      </c>
      <c r="S507" s="16" t="str">
        <f>iferror(VLOOKUP(C507,'ФИО'!A:B,2,0),"учётный код не найден")</f>
        <v>Байрамашвили Альберт Зурабович</v>
      </c>
      <c r="T507" s="13" t="str">
        <f t="shared" si="2"/>
        <v>ПУ 910-00349.A "Печатный узел основного блока E96 4LIN"</v>
      </c>
      <c r="U507" s="8">
        <v>0.0</v>
      </c>
      <c r="V507" s="8">
        <v>0.0</v>
      </c>
      <c r="W507" s="17" t="str">
        <f t="shared" si="56"/>
        <v>Данные не заполены</v>
      </c>
      <c r="X507" s="14" t="str">
        <f t="shared" si="31"/>
        <v>Данные не заполены</v>
      </c>
      <c r="Y507" s="15">
        <f t="shared" si="54"/>
        <v>0</v>
      </c>
    </row>
    <row r="508" hidden="1">
      <c r="A508" s="7">
        <v>44128.810876284726</v>
      </c>
      <c r="B508" s="8" t="s">
        <v>26</v>
      </c>
      <c r="C508" s="8">
        <v>21475.0</v>
      </c>
      <c r="D508" s="8" t="s">
        <v>69</v>
      </c>
      <c r="F508" s="8" t="s">
        <v>72</v>
      </c>
      <c r="G508" s="8">
        <v>3667.0</v>
      </c>
      <c r="H508" s="8" t="s">
        <v>45</v>
      </c>
      <c r="K508" s="8" t="s">
        <v>155</v>
      </c>
      <c r="L508" s="8" t="s">
        <v>37</v>
      </c>
      <c r="P508" s="9">
        <v>44128.0</v>
      </c>
      <c r="Q508" s="10">
        <v>0.020833333335758653</v>
      </c>
      <c r="R508" s="11" t="str">
        <f t="shared" si="1"/>
        <v>Пайка компонентов PRI</v>
      </c>
      <c r="S508" s="16" t="str">
        <f>iferror(VLOOKUP(C508,'ФИО'!A:B,2,0),"учётный код не найден")</f>
        <v>Байрамашвили Альберт Зурабович</v>
      </c>
      <c r="T508" s="13" t="str">
        <f t="shared" si="2"/>
        <v>ПУ N11 910-00188.B</v>
      </c>
      <c r="U508" s="8">
        <v>0.0</v>
      </c>
      <c r="V508" s="8">
        <v>0.0</v>
      </c>
      <c r="X508" s="14" t="str">
        <f t="shared" si="31"/>
        <v>Данные не заполены</v>
      </c>
      <c r="Y508" s="15">
        <f t="shared" si="54"/>
        <v>0</v>
      </c>
    </row>
    <row r="509" hidden="1">
      <c r="A509" s="7">
        <v>44120.82135353009</v>
      </c>
      <c r="B509" s="8" t="s">
        <v>26</v>
      </c>
      <c r="C509" s="8">
        <v>21475.0</v>
      </c>
      <c r="D509" s="8" t="s">
        <v>27</v>
      </c>
      <c r="E509" s="8" t="s">
        <v>182</v>
      </c>
      <c r="G509" s="8">
        <v>3649.0</v>
      </c>
      <c r="H509" s="8" t="s">
        <v>29</v>
      </c>
      <c r="I509" s="8" t="s">
        <v>33</v>
      </c>
      <c r="L509" s="8" t="s">
        <v>31</v>
      </c>
      <c r="M509" s="8" t="s">
        <v>34</v>
      </c>
      <c r="P509" s="9">
        <v>44120.0</v>
      </c>
      <c r="Q509" s="10">
        <v>0.013888888890505768</v>
      </c>
      <c r="R509" s="11" t="str">
        <f t="shared" si="1"/>
        <v>Подготовка компонентов к зарядке</v>
      </c>
      <c r="S509" s="16" t="str">
        <f>iferror(VLOOKUP(C509,'ФИО'!A:B,2,0),"учётный код не найден")</f>
        <v>Байрамашвили Альберт Зурабович</v>
      </c>
      <c r="T509" s="13" t="str">
        <f t="shared" si="2"/>
        <v>ssfp2.2 (Метротек)</v>
      </c>
      <c r="U509" s="8">
        <v>0.0</v>
      </c>
      <c r="V509" s="8">
        <v>0.0</v>
      </c>
      <c r="W509" s="17" t="str">
        <f t="shared" ref="W509:W510" si="57">IFERROR((((38412/(ifs(O509&lt;35,35,O509&gt;34,O509)/N509)*0.7))),"Данные не заполены")</f>
        <v>Данные не заполены</v>
      </c>
      <c r="X509" s="14" t="str">
        <f t="shared" si="31"/>
        <v>Данные не заполены</v>
      </c>
      <c r="Y509" s="15">
        <f t="shared" si="54"/>
        <v>0</v>
      </c>
    </row>
    <row r="510" hidden="1">
      <c r="A510" s="7">
        <v>44109.32336333333</v>
      </c>
      <c r="B510" s="8" t="s">
        <v>38</v>
      </c>
      <c r="C510" s="8">
        <v>20751.0</v>
      </c>
      <c r="D510" s="8" t="s">
        <v>27</v>
      </c>
      <c r="E510" s="8" t="s">
        <v>57</v>
      </c>
      <c r="G510" s="8">
        <v>3726.0</v>
      </c>
      <c r="H510" s="8" t="s">
        <v>45</v>
      </c>
      <c r="K510" s="8" t="s">
        <v>58</v>
      </c>
      <c r="L510" s="8" t="s">
        <v>31</v>
      </c>
      <c r="M510" s="8" t="s">
        <v>34</v>
      </c>
      <c r="N510" s="8"/>
      <c r="O510" s="8"/>
      <c r="P510" s="9">
        <v>44108.0</v>
      </c>
      <c r="Q510" s="10">
        <v>0.010416666664241347</v>
      </c>
      <c r="R510" s="11" t="str">
        <f t="shared" si="1"/>
        <v>Настройка линии Primary</v>
      </c>
      <c r="S510" s="16" t="str">
        <f>iferror(VLOOKUP(C510,'ФИО'!A:B,2,0),"учётный код не найден")</f>
        <v>Кезерев Виталий Романович</v>
      </c>
      <c r="T510" s="13" t="str">
        <f t="shared" si="2"/>
        <v>ПУ метки i95</v>
      </c>
      <c r="U510" s="8">
        <v>0.0</v>
      </c>
      <c r="V510" s="8">
        <v>0.0</v>
      </c>
      <c r="W510" s="21" t="str">
        <f t="shared" si="57"/>
        <v>Данные не заполены</v>
      </c>
      <c r="X510" s="15" t="str">
        <f t="shared" si="31"/>
        <v>Данные не заполены</v>
      </c>
      <c r="Y510" s="15">
        <f t="shared" si="54"/>
        <v>0</v>
      </c>
    </row>
    <row r="511" hidden="1">
      <c r="A511" s="7">
        <v>44133.32497407407</v>
      </c>
      <c r="B511" s="8" t="s">
        <v>38</v>
      </c>
      <c r="C511" s="8">
        <v>21475.0</v>
      </c>
      <c r="D511" s="8" t="s">
        <v>27</v>
      </c>
      <c r="E511" s="8" t="s">
        <v>182</v>
      </c>
      <c r="G511" s="8">
        <v>3621.0</v>
      </c>
      <c r="H511" s="8" t="s">
        <v>29</v>
      </c>
      <c r="I511" s="8" t="s">
        <v>30</v>
      </c>
      <c r="L511" s="8" t="s">
        <v>31</v>
      </c>
      <c r="M511" s="8" t="s">
        <v>34</v>
      </c>
      <c r="P511" s="9">
        <v>44132.0</v>
      </c>
      <c r="Q511" s="10">
        <v>0.29166666666424135</v>
      </c>
      <c r="R511" s="11" t="str">
        <f t="shared" si="1"/>
        <v>Подготовка компонентов к зарядке</v>
      </c>
      <c r="S511" s="12" t="str">
        <f>iferror(VLOOKUP(C511,'ФИО'!A:B,2,0),"учётный код не найден")</f>
        <v>Байрамашвили Альберт Зурабович</v>
      </c>
      <c r="T511" s="13" t="str">
        <f t="shared" si="2"/>
        <v>915-00121.A - Процессорный модуль РСЕН.469555.027 (КНС Групп) в ТС</v>
      </c>
      <c r="U511" s="8">
        <v>0.0</v>
      </c>
      <c r="V511" s="8">
        <v>0.0</v>
      </c>
      <c r="X511" s="14" t="str">
        <f t="shared" si="31"/>
        <v>Данные не заполены</v>
      </c>
      <c r="Y511" s="15">
        <f t="shared" si="54"/>
        <v>0</v>
      </c>
    </row>
    <row r="512" hidden="1">
      <c r="A512" s="7">
        <v>44129.82147613426</v>
      </c>
      <c r="B512" s="8" t="s">
        <v>26</v>
      </c>
      <c r="C512" s="8">
        <v>20751.0</v>
      </c>
      <c r="D512" s="8" t="s">
        <v>27</v>
      </c>
      <c r="E512" s="8" t="s">
        <v>57</v>
      </c>
      <c r="G512" s="8">
        <v>3621.0</v>
      </c>
      <c r="H512" s="8" t="s">
        <v>29</v>
      </c>
      <c r="I512" s="8" t="s">
        <v>54</v>
      </c>
      <c r="L512" s="8" t="s">
        <v>31</v>
      </c>
      <c r="M512" s="8" t="s">
        <v>34</v>
      </c>
      <c r="P512" s="9">
        <v>44129.0</v>
      </c>
      <c r="Q512" s="10">
        <v>0.013888888890505768</v>
      </c>
      <c r="R512" s="11" t="str">
        <f t="shared" si="1"/>
        <v>Настройка линии Primary</v>
      </c>
      <c r="S512" s="12" t="str">
        <f>iferror(VLOOKUP(C512,'ФИО'!A:B,2,0),"учётный код не найден")</f>
        <v>Кезерев Виталий Романович</v>
      </c>
      <c r="T512" s="13" t="str">
        <f t="shared" si="2"/>
        <v>915-00121.A - Процессорный модуль РСЕН.469555.027 (КНС Групп)</v>
      </c>
      <c r="U512" s="8">
        <v>0.0</v>
      </c>
      <c r="V512" s="8">
        <v>0.0</v>
      </c>
      <c r="X512" s="14" t="str">
        <f t="shared" si="31"/>
        <v>Данные не заполены</v>
      </c>
      <c r="Y512" s="15">
        <f t="shared" si="54"/>
        <v>0</v>
      </c>
    </row>
    <row r="513" hidden="1">
      <c r="A513" s="7">
        <v>44132.310169108794</v>
      </c>
      <c r="B513" s="8" t="s">
        <v>26</v>
      </c>
      <c r="C513" s="8">
        <v>21475.0</v>
      </c>
      <c r="D513" s="8" t="s">
        <v>27</v>
      </c>
      <c r="E513" s="8" t="s">
        <v>86</v>
      </c>
      <c r="L513" s="8" t="s">
        <v>31</v>
      </c>
      <c r="M513" s="8" t="s">
        <v>34</v>
      </c>
      <c r="N513" s="8">
        <v>1.0</v>
      </c>
      <c r="P513" s="9">
        <v>44131.0</v>
      </c>
      <c r="Q513" s="10">
        <v>0.010416666664241347</v>
      </c>
      <c r="R513" s="11" t="str">
        <f t="shared" si="1"/>
        <v>Проведение обучения</v>
      </c>
      <c r="S513" s="12" t="str">
        <f>iferror(VLOOKUP(C513,'ФИО'!A:B,2,0),"учётный код не найден")</f>
        <v>Байрамашвили Альберт Зурабович</v>
      </c>
      <c r="T513" s="13" t="str">
        <f t="shared" si="2"/>
        <v/>
      </c>
      <c r="X513" s="14" t="str">
        <f t="shared" si="31"/>
        <v>Данные не заполены</v>
      </c>
      <c r="Y513" s="15">
        <f t="shared" si="54"/>
        <v>0</v>
      </c>
    </row>
    <row r="514" hidden="1">
      <c r="A514" s="7">
        <v>44105.83651375</v>
      </c>
      <c r="B514" s="8" t="s">
        <v>26</v>
      </c>
      <c r="C514" s="8">
        <v>21475.0</v>
      </c>
      <c r="D514" s="18" t="s">
        <v>69</v>
      </c>
      <c r="F514" s="8" t="s">
        <v>103</v>
      </c>
      <c r="G514" s="18">
        <v>3047.0</v>
      </c>
      <c r="H514" s="8" t="s">
        <v>29</v>
      </c>
      <c r="I514" s="8" t="s">
        <v>77</v>
      </c>
      <c r="L514" s="18" t="s">
        <v>31</v>
      </c>
      <c r="M514" s="8" t="s">
        <v>36</v>
      </c>
      <c r="N514" s="8"/>
      <c r="O514" s="8"/>
      <c r="P514" s="19">
        <v>44105.0</v>
      </c>
      <c r="Q514" s="20">
        <v>0.20833333333333334</v>
      </c>
      <c r="R514" s="13" t="str">
        <f t="shared" si="1"/>
        <v>Проверка на АОИ PRI</v>
      </c>
      <c r="S514" s="16" t="str">
        <f>iferror(VLOOKUP(C514,'ФИО'!A:B,2,0),"учётный код не найден")</f>
        <v>Байрамашвили Альберт Зурабович</v>
      </c>
      <c r="T514" s="13" t="str">
        <f t="shared" si="2"/>
        <v>915-00081.A-Модуль Трик8 (Кибертех)</v>
      </c>
      <c r="U514" s="8">
        <v>40.0</v>
      </c>
      <c r="V514" s="8">
        <v>30.0</v>
      </c>
      <c r="W514" s="21" t="str">
        <f t="shared" ref="W514:W518" si="58">IFERROR((((38412/(ifs(O514&lt;35,35,O514&gt;34,O514)/N514)*0.7))),"Данные не заполены")</f>
        <v>Данные не заполены</v>
      </c>
      <c r="X514" s="15" t="str">
        <f t="shared" si="31"/>
        <v>Данные не заполены</v>
      </c>
      <c r="Y514" s="15">
        <f t="shared" si="54"/>
        <v>0.75</v>
      </c>
      <c r="Z514" s="8" t="s">
        <v>188</v>
      </c>
    </row>
    <row r="515" hidden="1">
      <c r="A515" s="7">
        <v>44108.33225777777</v>
      </c>
      <c r="B515" s="8" t="s">
        <v>38</v>
      </c>
      <c r="C515" s="8">
        <v>20751.0</v>
      </c>
      <c r="D515" s="8" t="s">
        <v>27</v>
      </c>
      <c r="E515" s="8" t="s">
        <v>121</v>
      </c>
      <c r="G515" s="8">
        <v>3706.0</v>
      </c>
      <c r="H515" s="8" t="s">
        <v>45</v>
      </c>
      <c r="K515" s="8" t="s">
        <v>91</v>
      </c>
      <c r="L515" s="8" t="s">
        <v>31</v>
      </c>
      <c r="M515" s="8" t="s">
        <v>34</v>
      </c>
      <c r="N515" s="8"/>
      <c r="O515" s="8"/>
      <c r="P515" s="9">
        <v>44107.0</v>
      </c>
      <c r="Q515" s="10">
        <v>0.04166666666424135</v>
      </c>
      <c r="R515" s="11" t="str">
        <f t="shared" si="1"/>
        <v>Настройка линии Secondary</v>
      </c>
      <c r="S515" s="16" t="str">
        <f>iferror(VLOOKUP(C515,'ФИО'!A:B,2,0),"учётный код не найден")</f>
        <v>Кезерев Виталий Романович</v>
      </c>
      <c r="T515" s="13" t="str">
        <f t="shared" si="2"/>
        <v>ПУ Сигма 10/15 910-00080.D</v>
      </c>
      <c r="U515" s="8">
        <v>0.0</v>
      </c>
      <c r="V515" s="8">
        <v>0.0</v>
      </c>
      <c r="W515" s="21" t="str">
        <f t="shared" si="58"/>
        <v>Данные не заполены</v>
      </c>
      <c r="X515" s="15" t="str">
        <f t="shared" si="31"/>
        <v>Данные не заполены</v>
      </c>
      <c r="Y515" s="15">
        <f t="shared" si="54"/>
        <v>0</v>
      </c>
    </row>
    <row r="516" hidden="1">
      <c r="A516" s="7">
        <v>44105.82659563658</v>
      </c>
      <c r="B516" s="8" t="s">
        <v>26</v>
      </c>
      <c r="C516" s="8">
        <v>20751.0</v>
      </c>
      <c r="D516" s="18" t="s">
        <v>27</v>
      </c>
      <c r="E516" s="8" t="s">
        <v>101</v>
      </c>
      <c r="G516" s="18">
        <v>3579.0</v>
      </c>
      <c r="H516" s="8" t="s">
        <v>29</v>
      </c>
      <c r="I516" s="8" t="s">
        <v>42</v>
      </c>
      <c r="L516" s="18" t="s">
        <v>31</v>
      </c>
      <c r="M516" s="8" t="s">
        <v>34</v>
      </c>
      <c r="N516" s="8"/>
      <c r="O516" s="8"/>
      <c r="P516" s="19">
        <v>44105.0</v>
      </c>
      <c r="Q516" s="20">
        <v>0.013888888890505768</v>
      </c>
      <c r="R516" s="13" t="str">
        <f t="shared" si="1"/>
        <v>Настройка принтера Prim</v>
      </c>
      <c r="S516" s="16" t="str">
        <f>iferror(VLOOKUP(C516,'ФИО'!A:B,2,0),"учётный код не найден")</f>
        <v>Кезерев Виталий Романович</v>
      </c>
      <c r="T516" s="13" t="str">
        <f t="shared" si="2"/>
        <v>915-00070.A - Модуль телематики ТМ1 v3 (Сознательные машины)</v>
      </c>
      <c r="U516" s="8">
        <v>0.0</v>
      </c>
      <c r="V516" s="8">
        <v>0.0</v>
      </c>
      <c r="W516" s="21" t="str">
        <f t="shared" si="58"/>
        <v>Данные не заполены</v>
      </c>
      <c r="X516" s="15" t="str">
        <f t="shared" si="31"/>
        <v>Данные не заполены</v>
      </c>
      <c r="Y516" s="15">
        <f t="shared" si="54"/>
        <v>0</v>
      </c>
    </row>
    <row r="517" hidden="1">
      <c r="A517" s="7">
        <v>44108.331185312505</v>
      </c>
      <c r="B517" s="8" t="s">
        <v>38</v>
      </c>
      <c r="C517" s="8">
        <v>20751.0</v>
      </c>
      <c r="D517" s="8" t="s">
        <v>27</v>
      </c>
      <c r="E517" s="8" t="s">
        <v>84</v>
      </c>
      <c r="G517" s="8">
        <v>3706.0</v>
      </c>
      <c r="H517" s="8" t="s">
        <v>45</v>
      </c>
      <c r="K517" s="8" t="s">
        <v>91</v>
      </c>
      <c r="L517" s="8" t="s">
        <v>31</v>
      </c>
      <c r="M517" s="8" t="s">
        <v>34</v>
      </c>
      <c r="N517" s="8"/>
      <c r="O517" s="8"/>
      <c r="P517" s="9">
        <v>44107.0</v>
      </c>
      <c r="Q517" s="10">
        <v>0.027777777781011537</v>
      </c>
      <c r="R517" s="11" t="str">
        <f t="shared" si="1"/>
        <v>Настройка принтера Sec</v>
      </c>
      <c r="S517" s="16" t="str">
        <f>iferror(VLOOKUP(C517,'ФИО'!A:B,2,0),"учётный код не найден")</f>
        <v>Кезерев Виталий Романович</v>
      </c>
      <c r="T517" s="13" t="str">
        <f t="shared" si="2"/>
        <v>ПУ Сигма 10/15 910-00080.D</v>
      </c>
      <c r="U517" s="8">
        <v>0.0</v>
      </c>
      <c r="V517" s="8">
        <v>0.0</v>
      </c>
      <c r="W517" s="21" t="str">
        <f t="shared" si="58"/>
        <v>Данные не заполены</v>
      </c>
      <c r="X517" s="15" t="str">
        <f t="shared" si="31"/>
        <v>Данные не заполены</v>
      </c>
      <c r="Y517" s="15">
        <f t="shared" si="54"/>
        <v>0</v>
      </c>
    </row>
    <row r="518" hidden="1">
      <c r="A518" s="7">
        <v>44113.82758591435</v>
      </c>
      <c r="B518" s="8" t="s">
        <v>26</v>
      </c>
      <c r="C518" s="8">
        <v>20751.0</v>
      </c>
      <c r="D518" s="8" t="s">
        <v>27</v>
      </c>
      <c r="E518" s="8" t="s">
        <v>82</v>
      </c>
      <c r="G518" s="8">
        <v>3750.0</v>
      </c>
      <c r="H518" s="8" t="s">
        <v>45</v>
      </c>
      <c r="K518" s="8" t="s">
        <v>46</v>
      </c>
      <c r="L518" s="8" t="s">
        <v>31</v>
      </c>
      <c r="M518" s="8" t="s">
        <v>34</v>
      </c>
      <c r="N518" s="8"/>
      <c r="O518" s="8"/>
      <c r="P518" s="9">
        <v>44113.0</v>
      </c>
      <c r="Q518" s="10">
        <v>0.020833333335758653</v>
      </c>
      <c r="R518" s="11" t="str">
        <f t="shared" si="1"/>
        <v>Настройка установщиков</v>
      </c>
      <c r="S518" s="16" t="str">
        <f>iferror(VLOOKUP(C518,'ФИО'!A:B,2,0),"учётный код не найден")</f>
        <v>Кезерев Виталий Романович</v>
      </c>
      <c r="T518" s="13" t="str">
        <f t="shared" si="2"/>
        <v>ПУ 910-00349.A "Печатный узел основного блока E96 4LIN"</v>
      </c>
      <c r="U518" s="8">
        <v>0.0</v>
      </c>
      <c r="V518" s="8">
        <v>0.0</v>
      </c>
      <c r="W518" s="21" t="str">
        <f t="shared" si="58"/>
        <v>Данные не заполены</v>
      </c>
      <c r="X518" s="15" t="str">
        <f t="shared" si="31"/>
        <v>Данные не заполены</v>
      </c>
      <c r="Y518" s="15">
        <f t="shared" si="54"/>
        <v>0</v>
      </c>
    </row>
    <row r="519" hidden="1">
      <c r="A519" s="7">
        <v>44129.363137858796</v>
      </c>
      <c r="B519" s="8" t="s">
        <v>26</v>
      </c>
      <c r="C519" s="8">
        <v>22087.0</v>
      </c>
      <c r="D519" s="8" t="s">
        <v>27</v>
      </c>
      <c r="E519" s="8" t="s">
        <v>180</v>
      </c>
      <c r="G519" s="8">
        <v>3804.0</v>
      </c>
      <c r="H519" s="8" t="s">
        <v>45</v>
      </c>
      <c r="K519" s="8" t="s">
        <v>52</v>
      </c>
      <c r="L519" s="8" t="s">
        <v>31</v>
      </c>
      <c r="M519" s="8" t="s">
        <v>34</v>
      </c>
      <c r="P519" s="9">
        <v>44128.0</v>
      </c>
      <c r="Q519" s="10">
        <v>0.0625</v>
      </c>
      <c r="R519" s="11" t="str">
        <f t="shared" si="1"/>
        <v>Отладка программы на AOI SEC</v>
      </c>
      <c r="S519" s="12" t="str">
        <f>iferror(VLOOKUP(C519,'ФИО'!A:B,2,0),"учётный код не найден")</f>
        <v>Хохряков Илья Александрович</v>
      </c>
      <c r="T519" s="13" t="str">
        <f t="shared" si="2"/>
        <v>М17V2 (900-00018.D)_910-00023.H и ПУ 910-00012.I</v>
      </c>
      <c r="U519" s="8">
        <v>0.0</v>
      </c>
      <c r="V519" s="8">
        <v>0.0</v>
      </c>
      <c r="X519" s="14" t="str">
        <f t="shared" si="31"/>
        <v>Данные не заполены</v>
      </c>
      <c r="Y519" s="15">
        <f t="shared" si="54"/>
        <v>0</v>
      </c>
    </row>
    <row r="520" hidden="1">
      <c r="A520" s="7">
        <v>44113.82982575231</v>
      </c>
      <c r="B520" s="8" t="s">
        <v>26</v>
      </c>
      <c r="C520" s="8">
        <v>60000.0</v>
      </c>
      <c r="D520" s="8" t="s">
        <v>69</v>
      </c>
      <c r="F520" s="8" t="s">
        <v>72</v>
      </c>
      <c r="G520" s="8">
        <v>3580.0</v>
      </c>
      <c r="H520" s="8" t="s">
        <v>29</v>
      </c>
      <c r="I520" s="8" t="s">
        <v>145</v>
      </c>
      <c r="L520" s="8" t="s">
        <v>37</v>
      </c>
      <c r="P520" s="9">
        <v>44113.0</v>
      </c>
      <c r="Q520" s="10">
        <v>0.04166666666424135</v>
      </c>
      <c r="R520" s="11" t="str">
        <f t="shared" si="1"/>
        <v>Пайка компонентов PRI</v>
      </c>
      <c r="S520" s="12" t="str">
        <f>iferror(VLOOKUP(C520,'ФИО'!A:B,2,0),"учётный код не найден")</f>
        <v>THT</v>
      </c>
      <c r="T520" s="13" t="str">
        <f t="shared" si="2"/>
        <v>XR (OÜ KLARBERG)</v>
      </c>
      <c r="U520" s="8">
        <v>340.0</v>
      </c>
      <c r="V520" s="8">
        <v>0.0</v>
      </c>
      <c r="W520" s="21" t="str">
        <f t="shared" ref="W520:W522" si="59">IFERROR((((38412/(ifs(O520&lt;35,35,O520&gt;34,O520)/N520)*0.7))),"Данные не заполены")</f>
        <v>Данные не заполены</v>
      </c>
      <c r="X520" s="15" t="str">
        <f t="shared" si="31"/>
        <v>Данные не заполены</v>
      </c>
      <c r="Y520" s="15">
        <f t="shared" si="54"/>
        <v>0</v>
      </c>
      <c r="Z520" s="8" t="s">
        <v>189</v>
      </c>
    </row>
    <row r="521" hidden="1">
      <c r="A521" s="7">
        <v>44113.83116434028</v>
      </c>
      <c r="B521" s="8" t="s">
        <v>26</v>
      </c>
      <c r="C521" s="8">
        <v>60000.0</v>
      </c>
      <c r="D521" s="8" t="s">
        <v>69</v>
      </c>
      <c r="F521" s="8" t="s">
        <v>72</v>
      </c>
      <c r="G521" s="8">
        <v>3579.0</v>
      </c>
      <c r="H521" s="8" t="s">
        <v>29</v>
      </c>
      <c r="I521" s="8" t="s">
        <v>42</v>
      </c>
      <c r="L521" s="8" t="s">
        <v>37</v>
      </c>
      <c r="P521" s="9">
        <v>44113.0</v>
      </c>
      <c r="Q521" s="10">
        <v>0.04166666666424135</v>
      </c>
      <c r="R521" s="11" t="str">
        <f t="shared" si="1"/>
        <v>Пайка компонентов PRI</v>
      </c>
      <c r="S521" s="12" t="str">
        <f>iferror(VLOOKUP(C521,'ФИО'!A:B,2,0),"учётный код не найден")</f>
        <v>THT</v>
      </c>
      <c r="T521" s="13" t="str">
        <f t="shared" si="2"/>
        <v>915-00070.A - Модуль телематики ТМ1 v3 (Сознательные машины)</v>
      </c>
      <c r="U521" s="8">
        <v>72.0</v>
      </c>
      <c r="V521" s="8">
        <v>0.0</v>
      </c>
      <c r="W521" s="21" t="str">
        <f t="shared" si="59"/>
        <v>Данные не заполены</v>
      </c>
      <c r="X521" s="15" t="str">
        <f t="shared" si="31"/>
        <v>Данные не заполены</v>
      </c>
      <c r="Y521" s="15">
        <f t="shared" si="54"/>
        <v>0</v>
      </c>
    </row>
    <row r="522">
      <c r="A522" s="7">
        <v>44113.83519561343</v>
      </c>
      <c r="B522" s="8" t="s">
        <v>26</v>
      </c>
      <c r="C522" s="8">
        <v>60000.0</v>
      </c>
      <c r="D522" s="8" t="s">
        <v>69</v>
      </c>
      <c r="F522" s="8" t="s">
        <v>72</v>
      </c>
      <c r="G522" s="8">
        <v>3750.0</v>
      </c>
      <c r="H522" s="8" t="s">
        <v>45</v>
      </c>
      <c r="K522" s="8" t="s">
        <v>46</v>
      </c>
      <c r="L522" s="8" t="s">
        <v>31</v>
      </c>
      <c r="M522" s="8" t="s">
        <v>190</v>
      </c>
      <c r="N522" s="8"/>
      <c r="O522" s="8"/>
      <c r="P522" s="9">
        <v>44113.0</v>
      </c>
      <c r="Q522" s="10">
        <v>0.0013888888934161514</v>
      </c>
      <c r="R522" s="11" t="str">
        <f t="shared" si="1"/>
        <v>Пайка компонентов PRI</v>
      </c>
      <c r="S522" s="12" t="str">
        <f>iferror(VLOOKUP(C522,'ФИО'!A:B,2,0),"учётный код не найден")</f>
        <v>THT</v>
      </c>
      <c r="T522" s="13" t="str">
        <f t="shared" si="2"/>
        <v>ПУ 910-00349.A "Печатный узел основного блока E96 4LIN"</v>
      </c>
      <c r="U522" s="8">
        <v>4.0</v>
      </c>
      <c r="V522" s="8">
        <v>0.0</v>
      </c>
      <c r="W522" s="21" t="str">
        <f t="shared" si="59"/>
        <v>Данные не заполены</v>
      </c>
      <c r="X522" s="15" t="str">
        <f t="shared" si="31"/>
        <v>Данные не заполены</v>
      </c>
      <c r="Y522" s="15">
        <f t="shared" si="54"/>
        <v>0</v>
      </c>
    </row>
    <row r="523" hidden="1">
      <c r="A523" s="7">
        <v>44129.82252074074</v>
      </c>
      <c r="B523" s="8" t="s">
        <v>26</v>
      </c>
      <c r="C523" s="8">
        <v>20751.0</v>
      </c>
      <c r="D523" s="8" t="s">
        <v>27</v>
      </c>
      <c r="E523" s="8" t="s">
        <v>82</v>
      </c>
      <c r="G523" s="8">
        <v>3621.0</v>
      </c>
      <c r="H523" s="8" t="s">
        <v>29</v>
      </c>
      <c r="I523" s="8" t="s">
        <v>54</v>
      </c>
      <c r="L523" s="8" t="s">
        <v>31</v>
      </c>
      <c r="M523" s="8" t="s">
        <v>34</v>
      </c>
      <c r="P523" s="9">
        <v>44129.0</v>
      </c>
      <c r="Q523" s="10">
        <v>0.020833333335758653</v>
      </c>
      <c r="R523" s="11" t="str">
        <f t="shared" si="1"/>
        <v>Настройка установщиков</v>
      </c>
      <c r="S523" s="12" t="str">
        <f>iferror(VLOOKUP(C523,'ФИО'!A:B,2,0),"учётный код не найден")</f>
        <v>Кезерев Виталий Романович</v>
      </c>
      <c r="T523" s="13" t="str">
        <f t="shared" si="2"/>
        <v>915-00121.A - Процессорный модуль РСЕН.469555.027 (КНС Групп)</v>
      </c>
      <c r="U523" s="8">
        <v>0.0</v>
      </c>
      <c r="V523" s="8">
        <v>0.0</v>
      </c>
      <c r="X523" s="14" t="str">
        <f t="shared" si="31"/>
        <v>Данные не заполены</v>
      </c>
      <c r="Y523" s="15">
        <f t="shared" si="54"/>
        <v>0</v>
      </c>
    </row>
    <row r="524" hidden="1">
      <c r="A524" s="7">
        <v>44109.327105902776</v>
      </c>
      <c r="B524" s="8" t="s">
        <v>38</v>
      </c>
      <c r="C524" s="8">
        <v>21752.0</v>
      </c>
      <c r="D524" s="8" t="s">
        <v>27</v>
      </c>
      <c r="E524" s="8" t="s">
        <v>123</v>
      </c>
      <c r="G524" s="8">
        <v>3726.0</v>
      </c>
      <c r="H524" s="8" t="s">
        <v>45</v>
      </c>
      <c r="K524" s="8" t="s">
        <v>58</v>
      </c>
      <c r="L524" s="8" t="s">
        <v>31</v>
      </c>
      <c r="M524" s="8" t="s">
        <v>34</v>
      </c>
      <c r="N524" s="8"/>
      <c r="O524" s="8"/>
      <c r="P524" s="9">
        <v>44108.0</v>
      </c>
      <c r="Q524" s="10">
        <v>0.020833333335758653</v>
      </c>
      <c r="R524" s="11" t="str">
        <f t="shared" si="1"/>
        <v>Настойка первой платы на АОИ PRI</v>
      </c>
      <c r="S524" s="16" t="str">
        <f>iferror(VLOOKUP(C524,'ФИО'!A:B,2,0),"учётный код не найден")</f>
        <v>Егоров Александр Александрович</v>
      </c>
      <c r="T524" s="13" t="str">
        <f t="shared" si="2"/>
        <v>ПУ метки i95</v>
      </c>
      <c r="U524" s="8">
        <v>0.0</v>
      </c>
      <c r="V524" s="8">
        <v>0.0</v>
      </c>
      <c r="W524" s="21" t="str">
        <f t="shared" ref="W524:W526" si="60">IFERROR((((38412/(ifs(O524&lt;35,35,O524&gt;34,O524)/N524)*0.7))),"Данные не заполены")</f>
        <v>Данные не заполены</v>
      </c>
      <c r="X524" s="15" t="str">
        <f t="shared" si="31"/>
        <v>Данные не заполены</v>
      </c>
      <c r="Y524" s="15">
        <f t="shared" si="54"/>
        <v>0</v>
      </c>
    </row>
    <row r="525" hidden="1">
      <c r="A525" s="7">
        <v>44116.32690483796</v>
      </c>
      <c r="B525" s="8" t="s">
        <v>38</v>
      </c>
      <c r="C525" s="8">
        <v>21752.0</v>
      </c>
      <c r="D525" s="8" t="s">
        <v>27</v>
      </c>
      <c r="E525" s="8" t="s">
        <v>123</v>
      </c>
      <c r="G525" s="8">
        <v>3750.0</v>
      </c>
      <c r="H525" s="8" t="s">
        <v>45</v>
      </c>
      <c r="K525" s="8" t="s">
        <v>46</v>
      </c>
      <c r="L525" s="8" t="s">
        <v>37</v>
      </c>
      <c r="P525" s="9">
        <v>44115.0</v>
      </c>
      <c r="Q525" s="10">
        <v>0.04166666666424135</v>
      </c>
      <c r="R525" s="11" t="str">
        <f t="shared" si="1"/>
        <v>Настойка первой платы на АОИ PRI</v>
      </c>
      <c r="S525" s="16" t="str">
        <f>iferror(VLOOKUP(C525,'ФИО'!A:B,2,0),"учётный код не найден")</f>
        <v>Егоров Александр Александрович</v>
      </c>
      <c r="T525" s="13" t="str">
        <f t="shared" si="2"/>
        <v>ПУ 910-00349.A "Печатный узел основного блока E96 4LIN"</v>
      </c>
      <c r="U525" s="8">
        <v>0.0</v>
      </c>
      <c r="V525" s="8">
        <v>0.0</v>
      </c>
      <c r="W525" s="21" t="str">
        <f t="shared" si="60"/>
        <v>Данные не заполены</v>
      </c>
      <c r="X525" s="15" t="str">
        <f t="shared" si="31"/>
        <v>Данные не заполены</v>
      </c>
      <c r="Y525" s="15">
        <f t="shared" si="54"/>
        <v>0</v>
      </c>
    </row>
    <row r="526" hidden="1">
      <c r="A526" s="7">
        <v>44121.82346930556</v>
      </c>
      <c r="B526" s="8" t="s">
        <v>26</v>
      </c>
      <c r="C526" s="8">
        <v>21752.0</v>
      </c>
      <c r="D526" s="8" t="s">
        <v>27</v>
      </c>
      <c r="E526" s="8" t="s">
        <v>123</v>
      </c>
      <c r="G526" s="8">
        <v>3754.0</v>
      </c>
      <c r="H526" s="8" t="s">
        <v>45</v>
      </c>
      <c r="K526" s="8" t="s">
        <v>124</v>
      </c>
      <c r="L526" s="8" t="s">
        <v>31</v>
      </c>
      <c r="M526" s="8" t="s">
        <v>34</v>
      </c>
      <c r="P526" s="9">
        <v>44121.0</v>
      </c>
      <c r="Q526" s="10">
        <v>0.020833333335758653</v>
      </c>
      <c r="R526" s="11" t="str">
        <f t="shared" si="1"/>
        <v>Настойка первой платы на АОИ PRI</v>
      </c>
      <c r="S526" s="16" t="str">
        <f>iferror(VLOOKUP(C526,'ФИО'!A:B,2,0),"учётный код не найден")</f>
        <v>Егоров Александр Александрович</v>
      </c>
      <c r="T526" s="13" t="str">
        <f t="shared" si="2"/>
        <v>ПУ 910-00120.D - Печатный узел модуля 2CAN+LIN</v>
      </c>
      <c r="U526" s="8">
        <v>0.0</v>
      </c>
      <c r="V526" s="8">
        <v>0.0</v>
      </c>
      <c r="W526" s="17" t="str">
        <f t="shared" si="60"/>
        <v>Данные не заполены</v>
      </c>
      <c r="X526" s="14" t="str">
        <f t="shared" si="31"/>
        <v>Данные не заполены</v>
      </c>
      <c r="Y526" s="15">
        <f t="shared" si="54"/>
        <v>0</v>
      </c>
    </row>
    <row r="527" hidden="1">
      <c r="A527" s="7">
        <v>44133.32186401621</v>
      </c>
      <c r="B527" s="8" t="s">
        <v>38</v>
      </c>
      <c r="C527" s="8">
        <v>21752.0</v>
      </c>
      <c r="D527" s="8" t="s">
        <v>27</v>
      </c>
      <c r="E527" s="8" t="s">
        <v>101</v>
      </c>
      <c r="G527" s="8">
        <v>3802.0</v>
      </c>
      <c r="H527" s="8" t="s">
        <v>45</v>
      </c>
      <c r="K527" s="8" t="s">
        <v>120</v>
      </c>
      <c r="L527" s="8" t="s">
        <v>31</v>
      </c>
      <c r="M527" s="8" t="s">
        <v>34</v>
      </c>
      <c r="P527" s="9">
        <v>44132.0</v>
      </c>
      <c r="Q527" s="10">
        <v>0.020833333335758653</v>
      </c>
      <c r="R527" s="11" t="str">
        <f t="shared" si="1"/>
        <v>Настройка принтера Prim</v>
      </c>
      <c r="S527" s="12" t="str">
        <f>iferror(VLOOKUP(C527,'ФИО'!A:B,2,0),"учётный код не найден")</f>
        <v>Егоров Александр Александрович</v>
      </c>
      <c r="T527" s="13" t="str">
        <f t="shared" si="2"/>
        <v>М15ECO (900-00030.С) 910-00034.C/910-00041.C</v>
      </c>
      <c r="U527" s="8">
        <v>0.0</v>
      </c>
      <c r="V527" s="8">
        <v>0.0</v>
      </c>
      <c r="X527" s="14" t="str">
        <f t="shared" si="31"/>
        <v>Данные не заполены</v>
      </c>
      <c r="Y527" s="15">
        <f t="shared" si="54"/>
        <v>0</v>
      </c>
    </row>
    <row r="528" hidden="1">
      <c r="A528" s="7">
        <v>44120.82565549768</v>
      </c>
      <c r="B528" s="8" t="s">
        <v>26</v>
      </c>
      <c r="C528" s="8">
        <v>21752.0</v>
      </c>
      <c r="D528" s="8" t="s">
        <v>27</v>
      </c>
      <c r="E528" s="8" t="s">
        <v>82</v>
      </c>
      <c r="G528" s="8">
        <v>3649.0</v>
      </c>
      <c r="H528" s="8" t="s">
        <v>29</v>
      </c>
      <c r="I528" s="8" t="s">
        <v>33</v>
      </c>
      <c r="L528" s="8" t="s">
        <v>31</v>
      </c>
      <c r="M528" s="8" t="s">
        <v>34</v>
      </c>
      <c r="P528" s="9">
        <v>44120.0</v>
      </c>
      <c r="Q528" s="10">
        <v>0.08333333333575865</v>
      </c>
      <c r="R528" s="11" t="str">
        <f t="shared" si="1"/>
        <v>Настройка установщиков</v>
      </c>
      <c r="S528" s="16" t="str">
        <f>iferror(VLOOKUP(C528,'ФИО'!A:B,2,0),"учётный код не найден")</f>
        <v>Егоров Александр Александрович</v>
      </c>
      <c r="T528" s="13" t="str">
        <f t="shared" si="2"/>
        <v>ssfp2.2 (Метротек)</v>
      </c>
      <c r="U528" s="8">
        <v>0.0</v>
      </c>
      <c r="V528" s="8">
        <v>0.0</v>
      </c>
      <c r="W528" s="17" t="str">
        <f t="shared" ref="W528:W544" si="61">IFERROR((((38412/(ifs(O528&lt;35,35,O528&gt;34,O528)/N528)*0.7))),"Данные не заполены")</f>
        <v>Данные не заполены</v>
      </c>
      <c r="X528" s="14" t="str">
        <f t="shared" si="31"/>
        <v>Данные не заполены</v>
      </c>
      <c r="Y528" s="15">
        <f t="shared" si="54"/>
        <v>0</v>
      </c>
    </row>
    <row r="529" hidden="1">
      <c r="A529" s="7">
        <v>44108.320146342594</v>
      </c>
      <c r="B529" s="8" t="s">
        <v>38</v>
      </c>
      <c r="C529" s="8">
        <v>21752.0</v>
      </c>
      <c r="D529" s="8" t="s">
        <v>69</v>
      </c>
      <c r="F529" s="8" t="s">
        <v>72</v>
      </c>
      <c r="G529" s="8">
        <v>3047.0</v>
      </c>
      <c r="H529" s="8" t="s">
        <v>29</v>
      </c>
      <c r="I529" s="8" t="s">
        <v>77</v>
      </c>
      <c r="L529" s="8" t="s">
        <v>37</v>
      </c>
      <c r="P529" s="9">
        <v>44107.0</v>
      </c>
      <c r="Q529" s="10">
        <v>0.08333333333575865</v>
      </c>
      <c r="R529" s="11" t="str">
        <f t="shared" si="1"/>
        <v>Пайка компонентов PRI</v>
      </c>
      <c r="S529" s="16" t="str">
        <f>iferror(VLOOKUP(C529,'ФИО'!A:B,2,0),"учётный код не найден")</f>
        <v>Егоров Александр Александрович</v>
      </c>
      <c r="T529" s="13" t="str">
        <f t="shared" si="2"/>
        <v>915-00081.A-Модуль Трик8 (Кибертех)</v>
      </c>
      <c r="U529" s="8">
        <v>0.0</v>
      </c>
      <c r="V529" s="8">
        <v>0.0</v>
      </c>
      <c r="W529" s="21" t="str">
        <f t="shared" si="61"/>
        <v>Данные не заполены</v>
      </c>
      <c r="X529" s="15" t="str">
        <f t="shared" si="31"/>
        <v>Данные не заполены</v>
      </c>
      <c r="Y529" s="15">
        <f t="shared" si="54"/>
        <v>0</v>
      </c>
    </row>
    <row r="530" hidden="1">
      <c r="A530" s="7">
        <v>44108.32222239583</v>
      </c>
      <c r="B530" s="8" t="s">
        <v>38</v>
      </c>
      <c r="C530" s="8">
        <v>21752.0</v>
      </c>
      <c r="D530" s="8" t="s">
        <v>69</v>
      </c>
      <c r="F530" s="8" t="s">
        <v>72</v>
      </c>
      <c r="G530" s="8">
        <v>3579.0</v>
      </c>
      <c r="H530" s="8" t="s">
        <v>29</v>
      </c>
      <c r="I530" s="8" t="s">
        <v>42</v>
      </c>
      <c r="L530" s="8" t="s">
        <v>37</v>
      </c>
      <c r="P530" s="9">
        <v>44107.0</v>
      </c>
      <c r="Q530" s="10">
        <v>0.20833333333575865</v>
      </c>
      <c r="R530" s="11" t="str">
        <f t="shared" si="1"/>
        <v>Пайка компонентов PRI</v>
      </c>
      <c r="S530" s="16" t="str">
        <f>iferror(VLOOKUP(C530,'ФИО'!A:B,2,0),"учётный код не найден")</f>
        <v>Егоров Александр Александрович</v>
      </c>
      <c r="T530" s="13" t="str">
        <f t="shared" si="2"/>
        <v>915-00070.A - Модуль телематики ТМ1 v3 (Сознательные машины)</v>
      </c>
      <c r="U530" s="8">
        <v>0.0</v>
      </c>
      <c r="V530" s="8">
        <v>0.0</v>
      </c>
      <c r="W530" s="21" t="str">
        <f t="shared" si="61"/>
        <v>Данные не заполены</v>
      </c>
      <c r="X530" s="15" t="str">
        <f t="shared" si="31"/>
        <v>Данные не заполены</v>
      </c>
      <c r="Y530" s="15">
        <f t="shared" si="54"/>
        <v>0</v>
      </c>
    </row>
    <row r="531" hidden="1">
      <c r="A531" s="7">
        <v>44114.29360055555</v>
      </c>
      <c r="B531" s="8" t="s">
        <v>76</v>
      </c>
      <c r="C531" s="8">
        <v>21504.0</v>
      </c>
      <c r="D531" s="8" t="s">
        <v>69</v>
      </c>
      <c r="F531" s="8" t="s">
        <v>72</v>
      </c>
      <c r="G531" s="8">
        <v>3734.0</v>
      </c>
      <c r="H531" s="8" t="s">
        <v>45</v>
      </c>
      <c r="K531" s="8" t="s">
        <v>191</v>
      </c>
      <c r="L531" s="8" t="s">
        <v>31</v>
      </c>
      <c r="M531" s="8" t="s">
        <v>192</v>
      </c>
      <c r="N531" s="8"/>
      <c r="O531" s="8"/>
      <c r="P531" s="9">
        <v>44113.0</v>
      </c>
      <c r="Q531" s="10">
        <v>0.45833333333575865</v>
      </c>
      <c r="R531" s="11" t="str">
        <f t="shared" si="1"/>
        <v>Пайка компонентов PRI</v>
      </c>
      <c r="S531" s="16" t="str">
        <f>iferror(VLOOKUP(C531,'ФИО'!A:B,2,0),"учётный код не найден")</f>
        <v>Александрова Елена Сергеевна</v>
      </c>
      <c r="T531" s="13" t="str">
        <f t="shared" si="2"/>
        <v>ПУ 910-00270.A Узел резервирования питания для E/S96</v>
      </c>
      <c r="U531" s="8">
        <v>0.0</v>
      </c>
      <c r="V531" s="8">
        <v>0.0</v>
      </c>
      <c r="W531" s="21" t="str">
        <f t="shared" si="61"/>
        <v>Данные не заполены</v>
      </c>
      <c r="X531" s="15" t="str">
        <f t="shared" si="31"/>
        <v>Данные не заполены</v>
      </c>
      <c r="Y531" s="15">
        <f t="shared" si="54"/>
        <v>0</v>
      </c>
    </row>
    <row r="532" hidden="1">
      <c r="A532" s="7">
        <v>44114.30872046296</v>
      </c>
      <c r="B532" s="8" t="s">
        <v>76</v>
      </c>
      <c r="C532" s="8">
        <v>20693.0</v>
      </c>
      <c r="D532" s="8" t="s">
        <v>27</v>
      </c>
      <c r="E532" s="8" t="s">
        <v>86</v>
      </c>
      <c r="L532" s="8" t="s">
        <v>31</v>
      </c>
      <c r="M532" s="8" t="s">
        <v>34</v>
      </c>
      <c r="N532" s="8"/>
      <c r="O532" s="8"/>
      <c r="P532" s="9">
        <v>44113.0</v>
      </c>
      <c r="Q532" s="10">
        <v>0.04166666666424135</v>
      </c>
      <c r="R532" s="11" t="str">
        <f t="shared" si="1"/>
        <v>Проведение обучения</v>
      </c>
      <c r="S532" s="16" t="str">
        <f>iferror(VLOOKUP(C532,'ФИО'!A:B,2,0),"учётный код не найден")</f>
        <v>Аникина Раиса Владимировна</v>
      </c>
      <c r="T532" s="13" t="str">
        <f t="shared" si="2"/>
        <v/>
      </c>
      <c r="W532" s="21" t="str">
        <f t="shared" si="61"/>
        <v>Данные не заполены</v>
      </c>
      <c r="X532" s="15" t="str">
        <f t="shared" si="31"/>
        <v>Данные не заполены</v>
      </c>
      <c r="Y532" s="15">
        <f t="shared" si="54"/>
        <v>0</v>
      </c>
    </row>
    <row r="533" hidden="1">
      <c r="A533" s="7">
        <v>44114.315968043986</v>
      </c>
      <c r="B533" s="8" t="s">
        <v>76</v>
      </c>
      <c r="C533" s="8">
        <v>20693.0</v>
      </c>
      <c r="D533" s="8" t="s">
        <v>27</v>
      </c>
      <c r="E533" s="8" t="s">
        <v>97</v>
      </c>
      <c r="G533" s="8">
        <v>3750.0</v>
      </c>
      <c r="H533" s="8" t="s">
        <v>45</v>
      </c>
      <c r="K533" s="8" t="s">
        <v>46</v>
      </c>
      <c r="L533" s="8" t="s">
        <v>37</v>
      </c>
      <c r="P533" s="9">
        <v>44113.0</v>
      </c>
      <c r="Q533" s="10">
        <v>0.41666666666424135</v>
      </c>
      <c r="R533" s="11" t="str">
        <f t="shared" si="1"/>
        <v>Проверка плат на АОИ Prim</v>
      </c>
      <c r="S533" s="16" t="str">
        <f>iferror(VLOOKUP(C533,'ФИО'!A:B,2,0),"учётный код не найден")</f>
        <v>Аникина Раиса Владимировна</v>
      </c>
      <c r="T533" s="13" t="str">
        <f t="shared" si="2"/>
        <v>ПУ 910-00349.A "Печатный узел основного блока E96 4LIN"</v>
      </c>
      <c r="U533" s="8">
        <v>339.0</v>
      </c>
      <c r="V533" s="8">
        <v>436.0</v>
      </c>
      <c r="W533" s="21" t="str">
        <f t="shared" si="61"/>
        <v>Данные не заполены</v>
      </c>
      <c r="X533" s="15" t="str">
        <f t="shared" si="31"/>
        <v>Данные не заполены</v>
      </c>
      <c r="Y533" s="15">
        <f t="shared" si="54"/>
        <v>1.286135693</v>
      </c>
      <c r="Z533" s="8" t="s">
        <v>193</v>
      </c>
    </row>
    <row r="534" hidden="1">
      <c r="A534" s="7">
        <v>44114.31859858797</v>
      </c>
      <c r="B534" s="8" t="s">
        <v>89</v>
      </c>
      <c r="C534" s="8">
        <v>21852.0</v>
      </c>
      <c r="D534" s="8" t="s">
        <v>27</v>
      </c>
      <c r="E534" s="8" t="s">
        <v>68</v>
      </c>
      <c r="L534" s="8" t="s">
        <v>31</v>
      </c>
      <c r="M534" s="8" t="s">
        <v>34</v>
      </c>
      <c r="N534" s="8"/>
      <c r="O534" s="8"/>
      <c r="P534" s="9">
        <v>44113.0</v>
      </c>
      <c r="Q534" s="10">
        <v>0.04166666666424135</v>
      </c>
      <c r="R534" s="11" t="str">
        <f t="shared" si="1"/>
        <v>Прохождение обучения</v>
      </c>
      <c r="S534" s="16" t="str">
        <f>iferror(VLOOKUP(C534,'ФИО'!A:B,2,0),"учётный код не найден")</f>
        <v>Пономарев Юрий Андреевич</v>
      </c>
      <c r="T534" s="13" t="str">
        <f t="shared" si="2"/>
        <v/>
      </c>
      <c r="W534" s="21" t="str">
        <f t="shared" si="61"/>
        <v>Данные не заполены</v>
      </c>
      <c r="X534" s="15" t="str">
        <f t="shared" si="31"/>
        <v>Данные не заполены</v>
      </c>
      <c r="Y534" s="15">
        <f t="shared" si="54"/>
        <v>0</v>
      </c>
    </row>
    <row r="535" hidden="1">
      <c r="A535" s="7">
        <v>44114.31903537037</v>
      </c>
      <c r="B535" s="8" t="s">
        <v>89</v>
      </c>
      <c r="C535" s="8">
        <v>21852.0</v>
      </c>
      <c r="D535" s="8" t="s">
        <v>27</v>
      </c>
      <c r="E535" s="8" t="s">
        <v>67</v>
      </c>
      <c r="G535" s="8">
        <v>3750.0</v>
      </c>
      <c r="H535" s="8" t="s">
        <v>45</v>
      </c>
      <c r="K535" s="8" t="s">
        <v>46</v>
      </c>
      <c r="L535" s="8" t="s">
        <v>37</v>
      </c>
      <c r="P535" s="9">
        <v>44113.0</v>
      </c>
      <c r="Q535" s="10">
        <v>0.41666666666424135</v>
      </c>
      <c r="R535" s="11" t="str">
        <f t="shared" si="1"/>
        <v>Сборка на линии Prim</v>
      </c>
      <c r="S535" s="16" t="str">
        <f>iferror(VLOOKUP(C535,'ФИО'!A:B,2,0),"учётный код не найден")</f>
        <v>Пономарев Юрий Андреевич</v>
      </c>
      <c r="T535" s="13" t="str">
        <f t="shared" si="2"/>
        <v>ПУ 910-00349.A "Печатный узел основного блока E96 4LIN"</v>
      </c>
      <c r="U535" s="8">
        <v>0.0</v>
      </c>
      <c r="V535" s="8">
        <v>0.0</v>
      </c>
      <c r="W535" s="21" t="str">
        <f t="shared" si="61"/>
        <v>Данные не заполены</v>
      </c>
      <c r="X535" s="15" t="str">
        <f t="shared" si="31"/>
        <v>Данные не заполены</v>
      </c>
      <c r="Y535" s="15">
        <f t="shared" si="54"/>
        <v>0</v>
      </c>
    </row>
    <row r="536" hidden="1">
      <c r="A536" s="7">
        <v>44114.31938793982</v>
      </c>
      <c r="B536" s="8" t="s">
        <v>76</v>
      </c>
      <c r="C536" s="8">
        <v>21954.0</v>
      </c>
      <c r="D536" s="8" t="s">
        <v>27</v>
      </c>
      <c r="E536" s="8" t="s">
        <v>68</v>
      </c>
      <c r="L536" s="8" t="s">
        <v>31</v>
      </c>
      <c r="M536" s="8" t="s">
        <v>34</v>
      </c>
      <c r="N536" s="8"/>
      <c r="O536" s="8"/>
      <c r="P536" s="9">
        <v>44113.0</v>
      </c>
      <c r="Q536" s="10">
        <v>0.04166666666424135</v>
      </c>
      <c r="R536" s="11" t="str">
        <f t="shared" si="1"/>
        <v>Прохождение обучения</v>
      </c>
      <c r="S536" s="16" t="str">
        <f>iferror(VLOOKUP(C536,'ФИО'!A:B,2,0),"учётный код не найден")</f>
        <v>Александров Александр Викторович</v>
      </c>
      <c r="T536" s="13" t="str">
        <f t="shared" si="2"/>
        <v/>
      </c>
      <c r="W536" s="21" t="str">
        <f t="shared" si="61"/>
        <v>Данные не заполены</v>
      </c>
      <c r="X536" s="15" t="str">
        <f t="shared" si="31"/>
        <v>Данные не заполены</v>
      </c>
      <c r="Y536" s="15">
        <f t="shared" si="54"/>
        <v>0</v>
      </c>
    </row>
    <row r="537" hidden="1">
      <c r="A537" s="7">
        <v>44114.320020439816</v>
      </c>
      <c r="B537" s="8" t="s">
        <v>76</v>
      </c>
      <c r="C537" s="8">
        <v>21954.0</v>
      </c>
      <c r="D537" s="8" t="s">
        <v>27</v>
      </c>
      <c r="E537" s="8" t="s">
        <v>62</v>
      </c>
      <c r="G537" s="8">
        <v>3750.0</v>
      </c>
      <c r="H537" s="8" t="s">
        <v>45</v>
      </c>
      <c r="K537" s="8" t="s">
        <v>194</v>
      </c>
      <c r="L537" s="8" t="s">
        <v>37</v>
      </c>
      <c r="P537" s="9">
        <v>44113.0</v>
      </c>
      <c r="Q537" s="10">
        <v>0.41666666666424135</v>
      </c>
      <c r="R537" s="11" t="str">
        <f t="shared" si="1"/>
        <v>ReviewStation pri</v>
      </c>
      <c r="S537" s="16" t="str">
        <f>iferror(VLOOKUP(C537,'ФИО'!A:B,2,0),"учётный код не найден")</f>
        <v>Александров Александр Викторович</v>
      </c>
      <c r="T537" s="13" t="str">
        <f t="shared" si="2"/>
        <v>ПУ основного блока E96 BT</v>
      </c>
      <c r="U537" s="8">
        <v>40.0</v>
      </c>
      <c r="V537" s="8">
        <v>420.0</v>
      </c>
      <c r="W537" s="21" t="str">
        <f t="shared" si="61"/>
        <v>Данные не заполены</v>
      </c>
      <c r="X537" s="15" t="str">
        <f t="shared" si="31"/>
        <v>Данные не заполены</v>
      </c>
      <c r="Y537" s="15">
        <f t="shared" si="54"/>
        <v>10.5</v>
      </c>
      <c r="Z537" s="8" t="s">
        <v>193</v>
      </c>
    </row>
    <row r="538" hidden="1">
      <c r="A538" s="7">
        <v>44114.3201266088</v>
      </c>
      <c r="B538" s="8" t="s">
        <v>76</v>
      </c>
      <c r="C538" s="8">
        <v>22011.0</v>
      </c>
      <c r="D538" s="8" t="s">
        <v>27</v>
      </c>
      <c r="E538" s="8" t="s">
        <v>65</v>
      </c>
      <c r="G538" s="8">
        <v>3253.0</v>
      </c>
      <c r="H538" s="8" t="s">
        <v>29</v>
      </c>
      <c r="I538" s="8" t="s">
        <v>95</v>
      </c>
      <c r="L538" s="8" t="s">
        <v>31</v>
      </c>
      <c r="M538" s="8" t="s">
        <v>34</v>
      </c>
      <c r="N538" s="8"/>
      <c r="O538" s="8"/>
      <c r="P538" s="9">
        <v>44113.0</v>
      </c>
      <c r="Q538" s="10">
        <v>0.125</v>
      </c>
      <c r="R538" s="11" t="str">
        <f t="shared" si="1"/>
        <v>Проверка комплектации</v>
      </c>
      <c r="S538" s="16" t="str">
        <f>iferror(VLOOKUP(C538,'ФИО'!A:B,2,0),"учётный код не найден")</f>
        <v>Сергеев Алексей Андреевич</v>
      </c>
      <c r="T538" s="13" t="str">
        <f t="shared" si="2"/>
        <v>915-00095.A - ПКД-8В-1 АСЛБ.467249.108 (Квант)</v>
      </c>
      <c r="U538" s="8">
        <v>0.0</v>
      </c>
      <c r="V538" s="8">
        <v>0.0</v>
      </c>
      <c r="W538" s="21" t="str">
        <f t="shared" si="61"/>
        <v>Данные не заполены</v>
      </c>
      <c r="X538" s="15" t="str">
        <f t="shared" si="31"/>
        <v>Данные не заполены</v>
      </c>
      <c r="Y538" s="15">
        <f t="shared" si="54"/>
        <v>0</v>
      </c>
    </row>
    <row r="539" hidden="1">
      <c r="A539" s="7">
        <v>44114.320404375</v>
      </c>
      <c r="B539" s="8" t="s">
        <v>76</v>
      </c>
      <c r="C539" s="8">
        <v>22011.0</v>
      </c>
      <c r="D539" s="8" t="s">
        <v>27</v>
      </c>
      <c r="E539" s="8" t="s">
        <v>68</v>
      </c>
      <c r="L539" s="8" t="s">
        <v>31</v>
      </c>
      <c r="M539" s="8" t="s">
        <v>34</v>
      </c>
      <c r="N539" s="8"/>
      <c r="O539" s="8"/>
      <c r="P539" s="9">
        <v>44113.0</v>
      </c>
      <c r="Q539" s="10">
        <v>0.04166666666424135</v>
      </c>
      <c r="R539" s="11" t="str">
        <f t="shared" si="1"/>
        <v>Прохождение обучения</v>
      </c>
      <c r="S539" s="16" t="str">
        <f>iferror(VLOOKUP(C539,'ФИО'!A:B,2,0),"учётный код не найден")</f>
        <v>Сергеев Алексей Андреевич</v>
      </c>
      <c r="T539" s="13" t="str">
        <f t="shared" si="2"/>
        <v/>
      </c>
      <c r="W539" s="21" t="str">
        <f t="shared" si="61"/>
        <v>Данные не заполены</v>
      </c>
      <c r="X539" s="15" t="str">
        <f t="shared" si="31"/>
        <v>Данные не заполены</v>
      </c>
      <c r="Y539" s="15">
        <f t="shared" si="54"/>
        <v>0</v>
      </c>
    </row>
    <row r="540" hidden="1">
      <c r="A540" s="7">
        <v>44114.32110482639</v>
      </c>
      <c r="B540" s="8" t="s">
        <v>76</v>
      </c>
      <c r="C540" s="8">
        <v>22011.0</v>
      </c>
      <c r="D540" s="8" t="s">
        <v>27</v>
      </c>
      <c r="E540" s="8" t="s">
        <v>67</v>
      </c>
      <c r="G540" s="8">
        <v>3750.0</v>
      </c>
      <c r="H540" s="8" t="s">
        <v>45</v>
      </c>
      <c r="K540" s="8" t="s">
        <v>46</v>
      </c>
      <c r="L540" s="8" t="s">
        <v>37</v>
      </c>
      <c r="P540" s="9">
        <v>44113.0</v>
      </c>
      <c r="Q540" s="10">
        <v>0.29166666666424135</v>
      </c>
      <c r="R540" s="11" t="str">
        <f t="shared" si="1"/>
        <v>Сборка на линии Prim</v>
      </c>
      <c r="S540" s="16" t="str">
        <f>iferror(VLOOKUP(C540,'ФИО'!A:B,2,0),"учётный код не найден")</f>
        <v>Сергеев Алексей Андреевич</v>
      </c>
      <c r="T540" s="13" t="str">
        <f t="shared" si="2"/>
        <v>ПУ 910-00349.A "Печатный узел основного блока E96 4LIN"</v>
      </c>
      <c r="U540" s="8">
        <v>0.0</v>
      </c>
      <c r="V540" s="8">
        <v>0.0</v>
      </c>
      <c r="W540" s="21" t="str">
        <f t="shared" si="61"/>
        <v>Данные не заполены</v>
      </c>
      <c r="X540" s="15" t="str">
        <f t="shared" si="31"/>
        <v>Данные не заполены</v>
      </c>
      <c r="Y540" s="15">
        <f t="shared" si="54"/>
        <v>0</v>
      </c>
    </row>
    <row r="541" hidden="1">
      <c r="A541" s="7">
        <v>44114.32708618055</v>
      </c>
      <c r="B541" s="8" t="s">
        <v>76</v>
      </c>
      <c r="C541" s="8">
        <v>50000.0</v>
      </c>
      <c r="D541" s="8" t="s">
        <v>27</v>
      </c>
      <c r="E541" s="8" t="s">
        <v>67</v>
      </c>
      <c r="G541" s="8">
        <v>3750.0</v>
      </c>
      <c r="H541" s="8" t="s">
        <v>45</v>
      </c>
      <c r="K541" s="8" t="s">
        <v>46</v>
      </c>
      <c r="L541" s="8" t="s">
        <v>37</v>
      </c>
      <c r="N541" s="8">
        <v>4.0</v>
      </c>
      <c r="O541" s="8">
        <v>61.0</v>
      </c>
      <c r="P541" s="9">
        <v>44113.0</v>
      </c>
      <c r="Q541" s="10">
        <v>0.3125</v>
      </c>
      <c r="R541" s="11" t="str">
        <f t="shared" si="1"/>
        <v>Сборка на линии Prim</v>
      </c>
      <c r="S541" s="16" t="str">
        <f>iferror(VLOOKUP(C541,'ФИО'!A:B,2,0),"учётный код не найден")</f>
        <v>SMT</v>
      </c>
      <c r="T541" s="13" t="str">
        <f t="shared" si="2"/>
        <v>ПУ 910-00349.A "Печатный узел основного блока E96 4LIN"</v>
      </c>
      <c r="U541" s="8">
        <v>844.0</v>
      </c>
      <c r="V541" s="8">
        <v>0.0</v>
      </c>
      <c r="W541" s="21">
        <f t="shared" si="61"/>
        <v>1763.17377</v>
      </c>
      <c r="X541" s="15">
        <f t="shared" si="31"/>
        <v>0.7020673103</v>
      </c>
      <c r="Y541" s="15">
        <f t="shared" si="54"/>
        <v>0</v>
      </c>
    </row>
    <row r="542" hidden="1">
      <c r="A542" s="7">
        <v>44119.81612523148</v>
      </c>
      <c r="B542" s="8" t="s">
        <v>89</v>
      </c>
      <c r="C542" s="8">
        <v>20693.0</v>
      </c>
      <c r="D542" s="8" t="s">
        <v>27</v>
      </c>
      <c r="E542" s="8" t="s">
        <v>82</v>
      </c>
      <c r="G542" s="8">
        <v>3253.0</v>
      </c>
      <c r="H542" s="8" t="s">
        <v>29</v>
      </c>
      <c r="I542" s="8" t="s">
        <v>95</v>
      </c>
      <c r="L542" s="8" t="s">
        <v>31</v>
      </c>
      <c r="M542" s="8" t="s">
        <v>34</v>
      </c>
      <c r="P542" s="9">
        <v>44119.0</v>
      </c>
      <c r="Q542" s="10">
        <v>0.04166666666424135</v>
      </c>
      <c r="R542" s="11" t="str">
        <f t="shared" si="1"/>
        <v>Настройка установщиков</v>
      </c>
      <c r="S542" s="16" t="str">
        <f>iferror(VLOOKUP(C542,'ФИО'!A:B,2,0),"учётный код не найден")</f>
        <v>Аникина Раиса Владимировна</v>
      </c>
      <c r="T542" s="13" t="str">
        <f t="shared" si="2"/>
        <v>915-00095.A - ПКД-8В-1 АСЛБ.467249.108 (Квант)</v>
      </c>
      <c r="U542" s="8">
        <v>3.0</v>
      </c>
      <c r="V542" s="8">
        <v>0.0</v>
      </c>
      <c r="W542" s="17" t="str">
        <f t="shared" si="61"/>
        <v>Данные не заполены</v>
      </c>
      <c r="X542" s="14" t="str">
        <f t="shared" si="31"/>
        <v>Данные не заполены</v>
      </c>
      <c r="Y542" s="15">
        <f t="shared" si="54"/>
        <v>0</v>
      </c>
    </row>
    <row r="543" hidden="1">
      <c r="A543" s="7">
        <v>44119.82933033565</v>
      </c>
      <c r="B543" s="8" t="s">
        <v>89</v>
      </c>
      <c r="C543" s="8">
        <v>21852.0</v>
      </c>
      <c r="D543" s="8" t="s">
        <v>27</v>
      </c>
      <c r="E543" s="8" t="s">
        <v>82</v>
      </c>
      <c r="G543" s="8">
        <v>3253.0</v>
      </c>
      <c r="H543" s="8" t="s">
        <v>29</v>
      </c>
      <c r="I543" s="8" t="s">
        <v>95</v>
      </c>
      <c r="L543" s="8" t="s">
        <v>31</v>
      </c>
      <c r="M543" s="8" t="s">
        <v>34</v>
      </c>
      <c r="P543" s="9">
        <v>44119.0</v>
      </c>
      <c r="Q543" s="10">
        <v>0.04166666666424135</v>
      </c>
      <c r="R543" s="11" t="str">
        <f t="shared" si="1"/>
        <v>Настройка установщиков</v>
      </c>
      <c r="S543" s="16" t="str">
        <f>iferror(VLOOKUP(C543,'ФИО'!A:B,2,0),"учётный код не найден")</f>
        <v>Пономарев Юрий Андреевич</v>
      </c>
      <c r="T543" s="13" t="str">
        <f t="shared" si="2"/>
        <v>915-00095.A - ПКД-8В-1 АСЛБ.467249.108 (Квант)</v>
      </c>
      <c r="U543" s="8">
        <v>0.0</v>
      </c>
      <c r="V543" s="8">
        <v>0.0</v>
      </c>
      <c r="W543" s="17" t="str">
        <f t="shared" si="61"/>
        <v>Данные не заполены</v>
      </c>
      <c r="X543" s="14" t="str">
        <f t="shared" si="31"/>
        <v>Данные не заполены</v>
      </c>
      <c r="Y543" s="15">
        <f t="shared" si="54"/>
        <v>0</v>
      </c>
    </row>
    <row r="544" hidden="1">
      <c r="A544" s="7">
        <v>44114.80175466435</v>
      </c>
      <c r="B544" s="8" t="s">
        <v>87</v>
      </c>
      <c r="C544" s="8">
        <v>50000.0</v>
      </c>
      <c r="D544" s="8" t="s">
        <v>27</v>
      </c>
      <c r="E544" s="8" t="s">
        <v>67</v>
      </c>
      <c r="G544" s="8">
        <v>3750.0</v>
      </c>
      <c r="H544" s="8" t="s">
        <v>45</v>
      </c>
      <c r="K544" s="8" t="s">
        <v>46</v>
      </c>
      <c r="L544" s="8" t="s">
        <v>37</v>
      </c>
      <c r="N544" s="8">
        <v>4.0</v>
      </c>
      <c r="O544" s="8">
        <v>61.0</v>
      </c>
      <c r="P544" s="9">
        <v>44114.0</v>
      </c>
      <c r="Q544" s="10">
        <v>0.29166666666424135</v>
      </c>
      <c r="R544" s="11" t="str">
        <f t="shared" si="1"/>
        <v>Сборка на линии Prim</v>
      </c>
      <c r="S544" s="16" t="str">
        <f>iferror(VLOOKUP(C544,'ФИО'!A:B,2,0),"учётный код не найден")</f>
        <v>SMT</v>
      </c>
      <c r="T544" s="13" t="str">
        <f t="shared" si="2"/>
        <v>ПУ 910-00349.A "Печатный узел основного блока E96 4LIN"</v>
      </c>
      <c r="U544" s="8">
        <v>584.0</v>
      </c>
      <c r="V544" s="8">
        <v>0.0</v>
      </c>
      <c r="W544" s="21">
        <f t="shared" si="61"/>
        <v>1763.17377</v>
      </c>
      <c r="X544" s="15">
        <f t="shared" si="31"/>
        <v>0.5204899829</v>
      </c>
      <c r="Y544" s="15">
        <f t="shared" si="54"/>
        <v>0</v>
      </c>
    </row>
    <row r="545" hidden="1">
      <c r="A545" s="7">
        <v>44122.796125347224</v>
      </c>
      <c r="B545" s="8" t="s">
        <v>87</v>
      </c>
      <c r="C545" s="8">
        <v>21426.0</v>
      </c>
      <c r="D545" s="8" t="s">
        <v>27</v>
      </c>
      <c r="E545" s="8" t="s">
        <v>82</v>
      </c>
      <c r="G545" s="8">
        <v>3754.0</v>
      </c>
      <c r="H545" s="8" t="s">
        <v>45</v>
      </c>
      <c r="K545" s="8" t="s">
        <v>124</v>
      </c>
      <c r="L545" s="8" t="s">
        <v>31</v>
      </c>
      <c r="M545" s="8" t="s">
        <v>34</v>
      </c>
      <c r="P545" s="9">
        <v>44122.0</v>
      </c>
      <c r="Q545" s="10">
        <v>0.020833333335758653</v>
      </c>
      <c r="R545" s="11" t="str">
        <f t="shared" si="1"/>
        <v>Настройка установщиков</v>
      </c>
      <c r="S545" s="16" t="str">
        <f>iferror(VLOOKUP(C545,'ФИО'!A:B,2,0),"учётный код не найден")</f>
        <v>Скибинский Антон Германович</v>
      </c>
      <c r="T545" s="13" t="str">
        <f t="shared" si="2"/>
        <v>ПУ 910-00120.D - Печатный узел модуля 2CAN+LIN</v>
      </c>
      <c r="U545" s="8">
        <v>0.0</v>
      </c>
      <c r="V545" s="8">
        <v>0.0</v>
      </c>
      <c r="X545" s="14" t="str">
        <f t="shared" si="31"/>
        <v>Данные не заполены</v>
      </c>
      <c r="Y545" s="15">
        <f t="shared" si="54"/>
        <v>0</v>
      </c>
    </row>
    <row r="546" hidden="1">
      <c r="A546" s="7">
        <v>44114.82167064815</v>
      </c>
      <c r="B546" s="8" t="s">
        <v>87</v>
      </c>
      <c r="C546" s="8">
        <v>22575.0</v>
      </c>
      <c r="D546" s="8" t="s">
        <v>27</v>
      </c>
      <c r="E546" s="8" t="s">
        <v>111</v>
      </c>
      <c r="L546" s="8" t="s">
        <v>31</v>
      </c>
      <c r="M546" s="8" t="s">
        <v>34</v>
      </c>
      <c r="N546" s="8"/>
      <c r="O546" s="8"/>
      <c r="P546" s="9">
        <v>44114.0</v>
      </c>
      <c r="Q546" s="10">
        <v>0.006944444445252884</v>
      </c>
      <c r="R546" s="11" t="str">
        <f t="shared" si="1"/>
        <v>Уборка линии</v>
      </c>
      <c r="S546" s="16" t="str">
        <f>iferror(VLOOKUP(C546,'ФИО'!A:B,2,0),"учётный код не найден")</f>
        <v>Куликов Виктор Алексеевич</v>
      </c>
      <c r="T546" s="13" t="str">
        <f t="shared" si="2"/>
        <v/>
      </c>
      <c r="W546" s="21" t="str">
        <f t="shared" ref="W546:W553" si="62">IFERROR((((38412/(ifs(O546&lt;35,35,O546&gt;34,O546)/N546)*0.7))),"Данные не заполены")</f>
        <v>Данные не заполены</v>
      </c>
      <c r="X546" s="15" t="str">
        <f t="shared" si="31"/>
        <v>Данные не заполены</v>
      </c>
      <c r="Y546" s="15">
        <f t="shared" si="54"/>
        <v>0</v>
      </c>
    </row>
    <row r="547" hidden="1">
      <c r="A547" s="7">
        <v>44114.82391011574</v>
      </c>
      <c r="B547" s="8" t="s">
        <v>87</v>
      </c>
      <c r="C547" s="8">
        <v>22575.0</v>
      </c>
      <c r="D547" s="8" t="s">
        <v>27</v>
      </c>
      <c r="E547" s="8" t="s">
        <v>39</v>
      </c>
      <c r="G547" s="8">
        <v>3253.0</v>
      </c>
      <c r="H547" s="8" t="s">
        <v>29</v>
      </c>
      <c r="I547" s="8" t="s">
        <v>95</v>
      </c>
      <c r="L547" s="8" t="s">
        <v>31</v>
      </c>
      <c r="M547" s="8" t="s">
        <v>34</v>
      </c>
      <c r="N547" s="8"/>
      <c r="O547" s="8"/>
      <c r="P547" s="9">
        <v>44114.0</v>
      </c>
      <c r="Q547" s="10">
        <v>0.024305555555555556</v>
      </c>
      <c r="R547" s="11" t="str">
        <f t="shared" si="1"/>
        <v>Зарядка питателей Prim</v>
      </c>
      <c r="S547" s="16" t="str">
        <f>iferror(VLOOKUP(C547,'ФИО'!A:B,2,0),"учётный код не найден")</f>
        <v>Куликов Виктор Алексеевич</v>
      </c>
      <c r="T547" s="13" t="str">
        <f t="shared" si="2"/>
        <v>915-00095.A - ПКД-8В-1 АСЛБ.467249.108 (Квант)</v>
      </c>
      <c r="U547" s="8">
        <v>36.0</v>
      </c>
      <c r="V547" s="8">
        <v>0.0</v>
      </c>
      <c r="W547" s="21" t="str">
        <f t="shared" si="62"/>
        <v>Данные не заполены</v>
      </c>
      <c r="X547" s="15" t="str">
        <f t="shared" si="31"/>
        <v>Данные не заполены</v>
      </c>
      <c r="Y547" s="15">
        <f t="shared" si="54"/>
        <v>0</v>
      </c>
    </row>
    <row r="548" hidden="1">
      <c r="A548" s="7">
        <v>44126.315146249995</v>
      </c>
      <c r="B548" s="8" t="s">
        <v>94</v>
      </c>
      <c r="C548" s="8">
        <v>20985.0</v>
      </c>
      <c r="D548" s="8" t="s">
        <v>27</v>
      </c>
      <c r="E548" s="8" t="s">
        <v>82</v>
      </c>
      <c r="G548" s="8">
        <v>3252.0</v>
      </c>
      <c r="H548" s="8" t="s">
        <v>29</v>
      </c>
      <c r="I548" s="8" t="s">
        <v>96</v>
      </c>
      <c r="L548" s="8" t="s">
        <v>31</v>
      </c>
      <c r="M548" s="8" t="s">
        <v>34</v>
      </c>
      <c r="P548" s="9">
        <v>44125.0</v>
      </c>
      <c r="Q548" s="10">
        <v>0.04166666666424135</v>
      </c>
      <c r="R548" s="11" t="str">
        <f t="shared" si="1"/>
        <v>Настройка установщиков</v>
      </c>
      <c r="S548" s="16" t="str">
        <f>iferror(VLOOKUP(C548,'ФИО'!A:B,2,0),"учётный код не найден")</f>
        <v>Никонорова Наталия Владимировна</v>
      </c>
      <c r="T548" s="13" t="str">
        <f t="shared" si="2"/>
        <v>915-00096.A - ПКД-8В-2 АСЛБ.467249.109</v>
      </c>
      <c r="U548" s="8">
        <v>0.0</v>
      </c>
      <c r="V548" s="8">
        <v>0.0</v>
      </c>
      <c r="W548" s="17" t="str">
        <f t="shared" si="62"/>
        <v>Данные не заполены</v>
      </c>
      <c r="X548" s="14" t="str">
        <f t="shared" si="31"/>
        <v>Данные не заполены</v>
      </c>
      <c r="Y548" s="15">
        <f t="shared" si="54"/>
        <v>0</v>
      </c>
    </row>
    <row r="549" hidden="1">
      <c r="A549" s="7">
        <v>44126.31922777778</v>
      </c>
      <c r="B549" s="8" t="s">
        <v>94</v>
      </c>
      <c r="C549" s="8">
        <v>20985.0</v>
      </c>
      <c r="D549" s="8" t="s">
        <v>27</v>
      </c>
      <c r="E549" s="8" t="s">
        <v>82</v>
      </c>
      <c r="G549" s="8">
        <v>3804.0</v>
      </c>
      <c r="H549" s="8" t="s">
        <v>45</v>
      </c>
      <c r="K549" s="8" t="s">
        <v>52</v>
      </c>
      <c r="L549" s="8" t="s">
        <v>31</v>
      </c>
      <c r="M549" s="8" t="s">
        <v>34</v>
      </c>
      <c r="P549" s="9">
        <v>44125.0</v>
      </c>
      <c r="Q549" s="10">
        <v>0.055555555554747116</v>
      </c>
      <c r="R549" s="11" t="str">
        <f t="shared" si="1"/>
        <v>Настройка установщиков</v>
      </c>
      <c r="S549" s="16" t="str">
        <f>iferror(VLOOKUP(C549,'ФИО'!A:B,2,0),"учётный код не найден")</f>
        <v>Никонорова Наталия Владимировна</v>
      </c>
      <c r="T549" s="13" t="str">
        <f t="shared" si="2"/>
        <v>М17V2 (900-00018.D)_910-00023.H и ПУ 910-00012.I</v>
      </c>
      <c r="U549" s="8">
        <v>0.0</v>
      </c>
      <c r="V549" s="8">
        <v>0.0</v>
      </c>
      <c r="W549" s="17" t="str">
        <f t="shared" si="62"/>
        <v>Данные не заполены</v>
      </c>
      <c r="X549" s="14" t="str">
        <f t="shared" si="31"/>
        <v>Данные не заполены</v>
      </c>
      <c r="Y549" s="15">
        <f t="shared" si="54"/>
        <v>0</v>
      </c>
    </row>
    <row r="550" hidden="1">
      <c r="A550" s="7">
        <v>44126.8188670949</v>
      </c>
      <c r="B550" s="8" t="s">
        <v>89</v>
      </c>
      <c r="C550" s="8">
        <v>21852.0</v>
      </c>
      <c r="D550" s="8" t="s">
        <v>27</v>
      </c>
      <c r="E550" s="8" t="s">
        <v>82</v>
      </c>
      <c r="G550" s="8">
        <v>3804.0</v>
      </c>
      <c r="H550" s="8" t="s">
        <v>45</v>
      </c>
      <c r="K550" s="8" t="s">
        <v>52</v>
      </c>
      <c r="L550" s="8" t="s">
        <v>31</v>
      </c>
      <c r="M550" s="8" t="s">
        <v>34</v>
      </c>
      <c r="P550" s="9">
        <v>44126.0</v>
      </c>
      <c r="Q550" s="10">
        <v>0.020833333335758653</v>
      </c>
      <c r="R550" s="11" t="str">
        <f t="shared" si="1"/>
        <v>Настройка установщиков</v>
      </c>
      <c r="S550" s="16" t="str">
        <f>iferror(VLOOKUP(C550,'ФИО'!A:B,2,0),"учётный код не найден")</f>
        <v>Пономарев Юрий Андреевич</v>
      </c>
      <c r="T550" s="13" t="str">
        <f t="shared" si="2"/>
        <v>М17V2 (900-00018.D)_910-00023.H и ПУ 910-00012.I</v>
      </c>
      <c r="U550" s="8">
        <v>0.0</v>
      </c>
      <c r="V550" s="8">
        <v>0.0</v>
      </c>
      <c r="W550" s="17" t="str">
        <f t="shared" si="62"/>
        <v>Данные не заполены</v>
      </c>
      <c r="X550" s="14" t="str">
        <f t="shared" si="31"/>
        <v>Данные не заполены</v>
      </c>
      <c r="Y550" s="15">
        <f t="shared" si="54"/>
        <v>0</v>
      </c>
    </row>
    <row r="551" hidden="1">
      <c r="A551" s="7">
        <v>44114.82535267361</v>
      </c>
      <c r="B551" s="8" t="s">
        <v>87</v>
      </c>
      <c r="C551" s="8">
        <v>22575.0</v>
      </c>
      <c r="D551" s="8" t="s">
        <v>27</v>
      </c>
      <c r="E551" s="8" t="s">
        <v>67</v>
      </c>
      <c r="G551" s="8">
        <v>3750.0</v>
      </c>
      <c r="H551" s="8" t="s">
        <v>45</v>
      </c>
      <c r="K551" s="8" t="s">
        <v>46</v>
      </c>
      <c r="L551" s="8" t="s">
        <v>37</v>
      </c>
      <c r="P551" s="9">
        <v>44114.0</v>
      </c>
      <c r="Q551" s="10">
        <v>0.3923611111111111</v>
      </c>
      <c r="R551" s="11" t="str">
        <f t="shared" si="1"/>
        <v>Сборка на линии Prim</v>
      </c>
      <c r="S551" s="16" t="str">
        <f>iferror(VLOOKUP(C551,'ФИО'!A:B,2,0),"учётный код не найден")</f>
        <v>Куликов Виктор Алексеевич</v>
      </c>
      <c r="T551" s="13" t="str">
        <f t="shared" si="2"/>
        <v>ПУ 910-00349.A "Печатный узел основного блока E96 4LIN"</v>
      </c>
      <c r="U551" s="8">
        <v>0.0</v>
      </c>
      <c r="V551" s="8">
        <v>0.0</v>
      </c>
      <c r="W551" s="21" t="str">
        <f t="shared" si="62"/>
        <v>Данные не заполены</v>
      </c>
      <c r="X551" s="15" t="str">
        <f t="shared" si="31"/>
        <v>Данные не заполены</v>
      </c>
      <c r="Y551" s="15">
        <f t="shared" si="54"/>
        <v>0</v>
      </c>
    </row>
    <row r="552">
      <c r="A552" s="7">
        <v>44114.82252943287</v>
      </c>
      <c r="B552" s="8" t="s">
        <v>87</v>
      </c>
      <c r="C552" s="8">
        <v>60000.0</v>
      </c>
      <c r="D552" s="8" t="s">
        <v>69</v>
      </c>
      <c r="F552" s="8" t="s">
        <v>72</v>
      </c>
      <c r="G552" s="8">
        <v>3750.0</v>
      </c>
      <c r="H552" s="8" t="s">
        <v>45</v>
      </c>
      <c r="K552" s="8" t="s">
        <v>46</v>
      </c>
      <c r="L552" s="8" t="s">
        <v>37</v>
      </c>
      <c r="P552" s="9">
        <v>44114.0</v>
      </c>
      <c r="Q552" s="10">
        <v>0.10416666666424135</v>
      </c>
      <c r="R552" s="11" t="str">
        <f t="shared" si="1"/>
        <v>Пайка компонентов PRI</v>
      </c>
      <c r="S552" s="12" t="str">
        <f>iferror(VLOOKUP(C552,'ФИО'!A:B,2,0),"учётный код не найден")</f>
        <v>THT</v>
      </c>
      <c r="T552" s="13" t="str">
        <f t="shared" si="2"/>
        <v>ПУ 910-00349.A "Печатный узел основного блока E96 4LIN"</v>
      </c>
      <c r="U552" s="8">
        <v>520.0</v>
      </c>
      <c r="V552" s="8">
        <v>0.0</v>
      </c>
      <c r="W552" s="21" t="str">
        <f t="shared" si="62"/>
        <v>Данные не заполены</v>
      </c>
      <c r="X552" s="15" t="str">
        <f t="shared" si="31"/>
        <v>Данные не заполены</v>
      </c>
      <c r="Y552" s="15">
        <f t="shared" si="54"/>
        <v>0</v>
      </c>
    </row>
    <row r="553" hidden="1">
      <c r="A553" s="7">
        <v>44116.33002</v>
      </c>
      <c r="B553" s="8" t="s">
        <v>38</v>
      </c>
      <c r="C553" s="8">
        <v>20751.0</v>
      </c>
      <c r="D553" s="8" t="s">
        <v>69</v>
      </c>
      <c r="F553" s="8" t="s">
        <v>106</v>
      </c>
      <c r="G553" s="8">
        <v>3750.0</v>
      </c>
      <c r="H553" s="8" t="s">
        <v>45</v>
      </c>
      <c r="K553" s="8" t="s">
        <v>46</v>
      </c>
      <c r="L553" s="8" t="s">
        <v>31</v>
      </c>
      <c r="M553" s="8" t="s">
        <v>34</v>
      </c>
      <c r="N553" s="8"/>
      <c r="O553" s="8"/>
      <c r="P553" s="9">
        <v>44115.0</v>
      </c>
      <c r="Q553" s="10">
        <v>0.020833333335758653</v>
      </c>
      <c r="R553" s="11" t="str">
        <f t="shared" si="1"/>
        <v>Настройка SEHO PRI</v>
      </c>
      <c r="S553" s="16" t="str">
        <f>iferror(VLOOKUP(C553,'ФИО'!A:B,2,0),"учётный код не найден")</f>
        <v>Кезерев Виталий Романович</v>
      </c>
      <c r="T553" s="13" t="str">
        <f t="shared" si="2"/>
        <v>ПУ 910-00349.A "Печатный узел основного блока E96 4LIN"</v>
      </c>
      <c r="U553" s="8">
        <v>0.0</v>
      </c>
      <c r="V553" s="8">
        <v>0.0</v>
      </c>
      <c r="W553" s="21" t="str">
        <f t="shared" si="62"/>
        <v>Данные не заполены</v>
      </c>
      <c r="X553" s="15" t="str">
        <f t="shared" si="31"/>
        <v>Данные не заполены</v>
      </c>
      <c r="Y553" s="15">
        <f t="shared" si="54"/>
        <v>0</v>
      </c>
    </row>
    <row r="554" hidden="1">
      <c r="A554" s="7">
        <v>44130.30489773148</v>
      </c>
      <c r="B554" s="8" t="s">
        <v>76</v>
      </c>
      <c r="C554" s="8">
        <v>22011.0</v>
      </c>
      <c r="D554" s="8" t="s">
        <v>27</v>
      </c>
      <c r="E554" s="8" t="s">
        <v>82</v>
      </c>
      <c r="G554" s="8">
        <v>3237.0</v>
      </c>
      <c r="H554" s="8" t="s">
        <v>29</v>
      </c>
      <c r="I554" s="8" t="s">
        <v>56</v>
      </c>
      <c r="L554" s="8" t="s">
        <v>31</v>
      </c>
      <c r="M554" s="8" t="s">
        <v>34</v>
      </c>
      <c r="P554" s="9">
        <v>44129.0</v>
      </c>
      <c r="Q554" s="10">
        <v>0.09722222221898846</v>
      </c>
      <c r="R554" s="11" t="str">
        <f t="shared" si="1"/>
        <v>Настройка установщиков</v>
      </c>
      <c r="S554" s="12" t="str">
        <f>iferror(VLOOKUP(C554,'ФИО'!A:B,2,0),"учётный код не найден")</f>
        <v>Сергеев Алексей Андреевич</v>
      </c>
      <c r="T554" s="13" t="str">
        <f t="shared" si="2"/>
        <v>915-00098.А - ПКБУИК-38 АСЛБ.465122.020 (Квант)</v>
      </c>
      <c r="U554" s="8">
        <v>4.0</v>
      </c>
      <c r="V554" s="8"/>
      <c r="W554" s="17">
        <v>18.5</v>
      </c>
      <c r="X554" s="14">
        <f t="shared" si="31"/>
        <v>1.019305019</v>
      </c>
      <c r="Y554" s="15">
        <f t="shared" si="54"/>
        <v>0</v>
      </c>
    </row>
    <row r="555" hidden="1">
      <c r="A555" s="7">
        <v>44130.30818871528</v>
      </c>
      <c r="B555" s="8" t="s">
        <v>76</v>
      </c>
      <c r="C555" s="8">
        <v>20693.0</v>
      </c>
      <c r="D555" s="8" t="s">
        <v>27</v>
      </c>
      <c r="E555" s="8" t="s">
        <v>82</v>
      </c>
      <c r="G555" s="8">
        <v>3793.0</v>
      </c>
      <c r="H555" s="8" t="s">
        <v>29</v>
      </c>
      <c r="I555" s="8" t="s">
        <v>56</v>
      </c>
      <c r="L555" s="8" t="s">
        <v>31</v>
      </c>
      <c r="M555" s="8" t="s">
        <v>34</v>
      </c>
      <c r="P555" s="9">
        <v>44129.0</v>
      </c>
      <c r="Q555" s="10">
        <v>0.04861111110949423</v>
      </c>
      <c r="R555" s="11" t="str">
        <f t="shared" si="1"/>
        <v>Настройка установщиков</v>
      </c>
      <c r="S555" s="12" t="str">
        <f>iferror(VLOOKUP(C555,'ФИО'!A:B,2,0),"учётный код не найден")</f>
        <v>Аникина Раиса Владимировна</v>
      </c>
      <c r="T555" s="13" t="str">
        <f t="shared" si="2"/>
        <v>915-00098.А - ПКБУИК-38 АСЛБ.465122.020 (Квант)</v>
      </c>
      <c r="U555" s="8">
        <v>2.0</v>
      </c>
      <c r="V555" s="8">
        <v>0.0</v>
      </c>
      <c r="W555" s="17">
        <v>18.5</v>
      </c>
      <c r="X555" s="14">
        <f t="shared" si="31"/>
        <v>1.019305019</v>
      </c>
      <c r="Y555" s="15">
        <f t="shared" si="54"/>
        <v>0</v>
      </c>
    </row>
    <row r="556" hidden="1">
      <c r="A556" s="7">
        <v>44130.315335057865</v>
      </c>
      <c r="B556" s="8" t="s">
        <v>76</v>
      </c>
      <c r="C556" s="8">
        <v>21852.0</v>
      </c>
      <c r="D556" s="8" t="s">
        <v>27</v>
      </c>
      <c r="E556" s="8" t="s">
        <v>82</v>
      </c>
      <c r="G556" s="8">
        <v>3237.0</v>
      </c>
      <c r="H556" s="8" t="s">
        <v>29</v>
      </c>
      <c r="I556" s="8" t="s">
        <v>56</v>
      </c>
      <c r="L556" s="8" t="s">
        <v>31</v>
      </c>
      <c r="M556" s="8" t="s">
        <v>34</v>
      </c>
      <c r="P556" s="9">
        <v>44129.0</v>
      </c>
      <c r="Q556" s="10">
        <v>0.020833333335758653</v>
      </c>
      <c r="R556" s="11" t="str">
        <f t="shared" si="1"/>
        <v>Настройка установщиков</v>
      </c>
      <c r="S556" s="12" t="str">
        <f>iferror(VLOOKUP(C556,'ФИО'!A:B,2,0),"учётный код не найден")</f>
        <v>Пономарев Юрий Андреевич</v>
      </c>
      <c r="T556" s="13" t="str">
        <f t="shared" si="2"/>
        <v>915-00098.А - ПКБУИК-38 АСЛБ.465122.020 (Квант)</v>
      </c>
      <c r="U556" s="8">
        <v>0.0</v>
      </c>
      <c r="V556" s="8">
        <v>0.0</v>
      </c>
      <c r="W556" s="17" t="str">
        <f t="shared" ref="W556:W577" si="63">IFERROR((((38412/(ifs(O556&lt;35,35,O556&gt;34,O556)/N556)*0.7))),"Данные не заполены")</f>
        <v>Данные не заполены</v>
      </c>
      <c r="X556" s="14" t="str">
        <f t="shared" si="31"/>
        <v>Данные не заполены</v>
      </c>
      <c r="Y556" s="15">
        <f t="shared" si="54"/>
        <v>0</v>
      </c>
    </row>
    <row r="557" hidden="1">
      <c r="A557" s="7">
        <v>44130.31668826389</v>
      </c>
      <c r="B557" s="8" t="s">
        <v>76</v>
      </c>
      <c r="C557" s="8">
        <v>21852.0</v>
      </c>
      <c r="D557" s="8" t="s">
        <v>27</v>
      </c>
      <c r="E557" s="8" t="s">
        <v>82</v>
      </c>
      <c r="G557" s="8">
        <v>3793.0</v>
      </c>
      <c r="H557" s="8" t="s">
        <v>29</v>
      </c>
      <c r="I557" s="8" t="s">
        <v>163</v>
      </c>
      <c r="L557" s="8" t="s">
        <v>31</v>
      </c>
      <c r="M557" s="8" t="s">
        <v>34</v>
      </c>
      <c r="P557" s="9">
        <v>44129.0</v>
      </c>
      <c r="Q557" s="10">
        <v>0.020833333335758653</v>
      </c>
      <c r="R557" s="11" t="str">
        <f t="shared" si="1"/>
        <v>Настройка установщиков</v>
      </c>
      <c r="S557" s="12" t="str">
        <f>iferror(VLOOKUP(C557,'ФИО'!A:B,2,0),"учётный код не найден")</f>
        <v>Пономарев Юрий Андреевич</v>
      </c>
      <c r="T557" s="13" t="str">
        <f t="shared" si="2"/>
        <v>915-00068.A - uklsip(s)220_v3.01 (Гефест)</v>
      </c>
      <c r="U557" s="8">
        <v>0.0</v>
      </c>
      <c r="V557" s="8">
        <v>0.0</v>
      </c>
      <c r="W557" s="17" t="str">
        <f t="shared" si="63"/>
        <v>Данные не заполены</v>
      </c>
      <c r="X557" s="14" t="str">
        <f t="shared" si="31"/>
        <v>Данные не заполены</v>
      </c>
      <c r="Y557" s="15">
        <f t="shared" si="54"/>
        <v>0</v>
      </c>
    </row>
    <row r="558" hidden="1">
      <c r="A558" s="7">
        <v>44130.8041719676</v>
      </c>
      <c r="B558" s="8" t="s">
        <v>87</v>
      </c>
      <c r="C558" s="8">
        <v>21426.0</v>
      </c>
      <c r="D558" s="8" t="s">
        <v>27</v>
      </c>
      <c r="E558" s="8" t="s">
        <v>82</v>
      </c>
      <c r="G558" s="8">
        <v>3793.0</v>
      </c>
      <c r="H558" s="8" t="s">
        <v>29</v>
      </c>
      <c r="I558" s="8" t="s">
        <v>163</v>
      </c>
      <c r="L558" s="8" t="s">
        <v>31</v>
      </c>
      <c r="M558" s="8" t="s">
        <v>34</v>
      </c>
      <c r="P558" s="9">
        <v>44130.0</v>
      </c>
      <c r="Q558" s="10">
        <v>0.027777777781011537</v>
      </c>
      <c r="R558" s="11" t="str">
        <f t="shared" si="1"/>
        <v>Настройка установщиков</v>
      </c>
      <c r="S558" s="12" t="str">
        <f>iferror(VLOOKUP(C558,'ФИО'!A:B,2,0),"учётный код не найден")</f>
        <v>Скибинский Антон Германович</v>
      </c>
      <c r="T558" s="13" t="str">
        <f t="shared" si="2"/>
        <v>915-00068.A - uklsip(s)220_v3.01 (Гефест)</v>
      </c>
      <c r="U558" s="8">
        <v>0.0</v>
      </c>
      <c r="V558" s="8">
        <v>0.0</v>
      </c>
      <c r="W558" s="17" t="str">
        <f t="shared" si="63"/>
        <v>Данные не заполены</v>
      </c>
      <c r="X558" s="14" t="str">
        <f t="shared" si="31"/>
        <v>Данные не заполены</v>
      </c>
      <c r="Y558" s="15">
        <f t="shared" si="54"/>
        <v>0</v>
      </c>
    </row>
    <row r="559" hidden="1">
      <c r="A559" s="7">
        <v>44115.80810283565</v>
      </c>
      <c r="B559" s="8" t="s">
        <v>87</v>
      </c>
      <c r="C559" s="8">
        <v>22575.0</v>
      </c>
      <c r="D559" s="8" t="s">
        <v>27</v>
      </c>
      <c r="E559" s="8" t="s">
        <v>67</v>
      </c>
      <c r="G559" s="8">
        <v>3750.0</v>
      </c>
      <c r="H559" s="8" t="s">
        <v>45</v>
      </c>
      <c r="K559" s="8" t="s">
        <v>46</v>
      </c>
      <c r="L559" s="8" t="s">
        <v>37</v>
      </c>
      <c r="P559" s="9">
        <v>44115.0</v>
      </c>
      <c r="Q559" s="10">
        <v>0.45138888889050577</v>
      </c>
      <c r="R559" s="11" t="str">
        <f t="shared" si="1"/>
        <v>Сборка на линии Prim</v>
      </c>
      <c r="S559" s="16" t="str">
        <f>iferror(VLOOKUP(C559,'ФИО'!A:B,2,0),"учётный код не найден")</f>
        <v>Куликов Виктор Алексеевич</v>
      </c>
      <c r="T559" s="13" t="str">
        <f t="shared" si="2"/>
        <v>ПУ 910-00349.A "Печатный узел основного блока E96 4LIN"</v>
      </c>
      <c r="U559" s="8">
        <v>0.0</v>
      </c>
      <c r="V559" s="8">
        <v>0.0</v>
      </c>
      <c r="W559" s="21" t="str">
        <f t="shared" si="63"/>
        <v>Данные не заполены</v>
      </c>
      <c r="X559" s="15" t="str">
        <f t="shared" si="31"/>
        <v>Данные не заполены</v>
      </c>
      <c r="Y559" s="15">
        <f t="shared" si="54"/>
        <v>0</v>
      </c>
    </row>
    <row r="560" hidden="1">
      <c r="A560" s="7">
        <v>44115.80839377315</v>
      </c>
      <c r="B560" s="8" t="s">
        <v>87</v>
      </c>
      <c r="C560" s="8">
        <v>22575.0</v>
      </c>
      <c r="D560" s="8" t="s">
        <v>27</v>
      </c>
      <c r="E560" s="8" t="s">
        <v>111</v>
      </c>
      <c r="L560" s="8" t="s">
        <v>31</v>
      </c>
      <c r="M560" s="8" t="s">
        <v>34</v>
      </c>
      <c r="N560" s="8"/>
      <c r="O560" s="8"/>
      <c r="P560" s="9">
        <v>44115.0</v>
      </c>
      <c r="Q560" s="10">
        <v>0.006944444445252884</v>
      </c>
      <c r="R560" s="11" t="str">
        <f t="shared" si="1"/>
        <v>Уборка линии</v>
      </c>
      <c r="S560" s="16" t="str">
        <f>iferror(VLOOKUP(C560,'ФИО'!A:B,2,0),"учётный код не найден")</f>
        <v>Куликов Виктор Алексеевич</v>
      </c>
      <c r="T560" s="13" t="str">
        <f t="shared" si="2"/>
        <v/>
      </c>
      <c r="W560" s="21" t="str">
        <f t="shared" si="63"/>
        <v>Данные не заполены</v>
      </c>
      <c r="X560" s="15" t="str">
        <f t="shared" si="31"/>
        <v>Данные не заполены</v>
      </c>
      <c r="Y560" s="15">
        <f t="shared" si="54"/>
        <v>0</v>
      </c>
    </row>
    <row r="561" hidden="1">
      <c r="A561" s="7">
        <v>44131.816407314815</v>
      </c>
      <c r="B561" s="8" t="s">
        <v>87</v>
      </c>
      <c r="C561" s="8">
        <v>21426.0</v>
      </c>
      <c r="D561" s="8" t="s">
        <v>27</v>
      </c>
      <c r="E561" s="8" t="s">
        <v>82</v>
      </c>
      <c r="G561" s="8">
        <v>3621.0</v>
      </c>
      <c r="H561" s="8" t="s">
        <v>29</v>
      </c>
      <c r="I561" s="8" t="s">
        <v>54</v>
      </c>
      <c r="L561" s="8" t="s">
        <v>31</v>
      </c>
      <c r="M561" s="8" t="s">
        <v>34</v>
      </c>
      <c r="P561" s="9">
        <v>44131.0</v>
      </c>
      <c r="Q561" s="10">
        <v>0.020833333335758653</v>
      </c>
      <c r="R561" s="11" t="str">
        <f t="shared" si="1"/>
        <v>Настройка установщиков</v>
      </c>
      <c r="S561" s="12" t="str">
        <f>iferror(VLOOKUP(C561,'ФИО'!A:B,2,0),"учётный код не найден")</f>
        <v>Скибинский Антон Германович</v>
      </c>
      <c r="T561" s="13" t="str">
        <f t="shared" si="2"/>
        <v>915-00121.A - Процессорный модуль РСЕН.469555.027 (КНС Групп)</v>
      </c>
      <c r="U561" s="8">
        <v>0.0</v>
      </c>
      <c r="V561" s="8">
        <v>0.0</v>
      </c>
      <c r="W561" s="17" t="str">
        <f t="shared" si="63"/>
        <v>Данные не заполены</v>
      </c>
      <c r="X561" s="14" t="str">
        <f t="shared" si="31"/>
        <v>Данные не заполены</v>
      </c>
      <c r="Y561" s="15">
        <f t="shared" si="54"/>
        <v>0</v>
      </c>
    </row>
    <row r="562" hidden="1">
      <c r="A562" s="7">
        <v>44109.82313975695</v>
      </c>
      <c r="B562" s="8" t="s">
        <v>127</v>
      </c>
      <c r="C562" s="8">
        <v>21927.0</v>
      </c>
      <c r="D562" s="8" t="s">
        <v>27</v>
      </c>
      <c r="E562" s="8" t="s">
        <v>97</v>
      </c>
      <c r="G562" s="8">
        <v>3726.0</v>
      </c>
      <c r="H562" s="8" t="s">
        <v>45</v>
      </c>
      <c r="K562" s="8" t="s">
        <v>58</v>
      </c>
      <c r="L562" s="8" t="s">
        <v>37</v>
      </c>
      <c r="P562" s="9">
        <v>44109.0</v>
      </c>
      <c r="Q562" s="10">
        <v>0.22916666666424135</v>
      </c>
      <c r="R562" s="11" t="str">
        <f t="shared" si="1"/>
        <v>Проверка плат на АОИ Prim</v>
      </c>
      <c r="S562" s="16" t="str">
        <f>iferror(VLOOKUP(C562,'ФИО'!A:B,2,0),"учётный код не найден")</f>
        <v>Шергин Родион Олегович</v>
      </c>
      <c r="T562" s="11" t="str">
        <f t="shared" si="2"/>
        <v>ПУ метки i95</v>
      </c>
      <c r="U562" s="8">
        <v>5082.0</v>
      </c>
      <c r="V562" s="8">
        <v>438.0</v>
      </c>
      <c r="W562" s="21" t="str">
        <f t="shared" si="63"/>
        <v>Данные не заполены</v>
      </c>
      <c r="X562" s="15" t="str">
        <f t="shared" si="31"/>
        <v>Данные не заполены</v>
      </c>
      <c r="Y562" s="15">
        <f t="shared" si="54"/>
        <v>0.08618654073</v>
      </c>
    </row>
    <row r="563" hidden="1">
      <c r="A563" s="7">
        <v>44113.32187980324</v>
      </c>
      <c r="B563" s="8" t="s">
        <v>126</v>
      </c>
      <c r="C563" s="8">
        <v>22574.0</v>
      </c>
      <c r="D563" s="8" t="s">
        <v>27</v>
      </c>
      <c r="E563" s="8" t="s">
        <v>101</v>
      </c>
      <c r="G563" s="8">
        <v>3580.0</v>
      </c>
      <c r="H563" s="8" t="s">
        <v>29</v>
      </c>
      <c r="I563" s="8" t="s">
        <v>145</v>
      </c>
      <c r="L563" s="8" t="s">
        <v>31</v>
      </c>
      <c r="M563" s="8" t="s">
        <v>34</v>
      </c>
      <c r="N563" s="8"/>
      <c r="O563" s="8"/>
      <c r="P563" s="9">
        <v>44112.0</v>
      </c>
      <c r="Q563" s="10">
        <v>0.020833333335758653</v>
      </c>
      <c r="R563" s="11" t="str">
        <f t="shared" si="1"/>
        <v>Настройка принтера Prim</v>
      </c>
      <c r="S563" s="16" t="str">
        <f>iferror(VLOOKUP(C563,'ФИО'!A:B,2,0),"учётный код не найден")</f>
        <v>Шапенков Геннадий Михайлович</v>
      </c>
      <c r="T563" s="13" t="str">
        <f t="shared" si="2"/>
        <v>XR (OÜ KLARBERG)</v>
      </c>
      <c r="U563" s="8">
        <v>1.0</v>
      </c>
      <c r="V563" s="8">
        <v>0.0</v>
      </c>
      <c r="W563" s="21" t="str">
        <f t="shared" si="63"/>
        <v>Данные не заполены</v>
      </c>
      <c r="X563" s="15" t="str">
        <f t="shared" si="31"/>
        <v>Данные не заполены</v>
      </c>
      <c r="Y563" s="15">
        <f t="shared" si="54"/>
        <v>0</v>
      </c>
    </row>
    <row r="564" hidden="1">
      <c r="A564" s="7">
        <v>44113.32672114583</v>
      </c>
      <c r="B564" s="8" t="s">
        <v>126</v>
      </c>
      <c r="C564" s="8">
        <v>22574.0</v>
      </c>
      <c r="D564" s="8" t="s">
        <v>27</v>
      </c>
      <c r="E564" s="8" t="s">
        <v>101</v>
      </c>
      <c r="G564" s="8">
        <v>3750.0</v>
      </c>
      <c r="H564" s="8" t="s">
        <v>45</v>
      </c>
      <c r="K564" s="8" t="s">
        <v>46</v>
      </c>
      <c r="L564" s="8" t="s">
        <v>31</v>
      </c>
      <c r="M564" s="8" t="s">
        <v>34</v>
      </c>
      <c r="N564" s="8"/>
      <c r="O564" s="8"/>
      <c r="P564" s="9">
        <v>44112.0</v>
      </c>
      <c r="Q564" s="10">
        <v>0.020833333335758653</v>
      </c>
      <c r="R564" s="11" t="str">
        <f t="shared" si="1"/>
        <v>Настройка принтера Prim</v>
      </c>
      <c r="S564" s="16" t="str">
        <f>iferror(VLOOKUP(C564,'ФИО'!A:B,2,0),"учётный код не найден")</f>
        <v>Шапенков Геннадий Михайлович</v>
      </c>
      <c r="T564" s="13" t="str">
        <f t="shared" si="2"/>
        <v>ПУ 910-00349.A "Печатный узел основного блока E96 4LIN"</v>
      </c>
      <c r="U564" s="8">
        <v>1.0</v>
      </c>
      <c r="V564" s="8">
        <v>0.0</v>
      </c>
      <c r="W564" s="21" t="str">
        <f t="shared" si="63"/>
        <v>Данные не заполены</v>
      </c>
      <c r="X564" s="15" t="str">
        <f t="shared" si="31"/>
        <v>Данные не заполены</v>
      </c>
      <c r="Y564" s="15">
        <f t="shared" si="54"/>
        <v>0</v>
      </c>
    </row>
    <row r="565" hidden="1">
      <c r="A565" s="7">
        <v>44117.35721462963</v>
      </c>
      <c r="B565" s="8" t="s">
        <v>127</v>
      </c>
      <c r="C565" s="8">
        <v>21927.0</v>
      </c>
      <c r="D565" s="8" t="s">
        <v>27</v>
      </c>
      <c r="E565" s="8" t="s">
        <v>97</v>
      </c>
      <c r="G565" s="8">
        <v>3750.0</v>
      </c>
      <c r="H565" s="8" t="s">
        <v>45</v>
      </c>
      <c r="K565" s="8" t="s">
        <v>46</v>
      </c>
      <c r="L565" s="8" t="s">
        <v>37</v>
      </c>
      <c r="P565" s="9">
        <v>44116.0</v>
      </c>
      <c r="Q565" s="10">
        <v>0.29166666666424135</v>
      </c>
      <c r="R565" s="11" t="str">
        <f t="shared" si="1"/>
        <v>Проверка плат на АОИ Prim</v>
      </c>
      <c r="S565" s="16" t="str">
        <f>iferror(VLOOKUP(C565,'ФИО'!A:B,2,0),"учётный код не найден")</f>
        <v>Шергин Родион Олегович</v>
      </c>
      <c r="T565" s="11" t="str">
        <f t="shared" si="2"/>
        <v>ПУ 910-00349.A "Печатный узел основного блока E96 4LIN"</v>
      </c>
      <c r="U565" s="8">
        <v>416.0</v>
      </c>
      <c r="V565" s="8">
        <v>164.0</v>
      </c>
      <c r="W565" s="17" t="str">
        <f t="shared" si="63"/>
        <v>Данные не заполены</v>
      </c>
      <c r="X565" s="14" t="str">
        <f t="shared" si="31"/>
        <v>Данные не заполены</v>
      </c>
      <c r="Y565" s="15">
        <f t="shared" si="54"/>
        <v>0.3942307692</v>
      </c>
    </row>
    <row r="566" hidden="1">
      <c r="A566" s="7">
        <v>44110.149358333336</v>
      </c>
      <c r="B566" s="8" t="s">
        <v>94</v>
      </c>
      <c r="C566" s="8">
        <v>20985.0</v>
      </c>
      <c r="D566" s="8" t="s">
        <v>69</v>
      </c>
      <c r="F566" s="8" t="s">
        <v>106</v>
      </c>
      <c r="G566" s="8">
        <v>3233.0</v>
      </c>
      <c r="H566" s="8" t="s">
        <v>29</v>
      </c>
      <c r="I566" s="8" t="s">
        <v>60</v>
      </c>
      <c r="L566" s="8" t="s">
        <v>31</v>
      </c>
      <c r="M566" s="8" t="s">
        <v>34</v>
      </c>
      <c r="N566" s="8"/>
      <c r="O566" s="8"/>
      <c r="P566" s="9">
        <v>44109.0</v>
      </c>
      <c r="Q566" s="10">
        <v>0.04166666666424135</v>
      </c>
      <c r="R566" s="11" t="str">
        <f t="shared" si="1"/>
        <v>Настройка SEHO PRI</v>
      </c>
      <c r="S566" s="16" t="str">
        <f>iferror(VLOOKUP(C566,'ФИО'!A:B,2,0),"учётный код не найден")</f>
        <v>Никонорова Наталия Владимировна</v>
      </c>
      <c r="T566" s="13" t="str">
        <f t="shared" si="2"/>
        <v>915-00102.A - ПБОК-2В АСЛБ.465285.013 (Квант)</v>
      </c>
      <c r="U566" s="8">
        <v>0.0</v>
      </c>
      <c r="V566" s="8">
        <v>0.0</v>
      </c>
      <c r="W566" s="21" t="str">
        <f t="shared" si="63"/>
        <v>Данные не заполены</v>
      </c>
      <c r="X566" s="15" t="str">
        <f t="shared" si="31"/>
        <v>Данные не заполены</v>
      </c>
      <c r="Y566" s="15">
        <f t="shared" si="54"/>
        <v>0</v>
      </c>
    </row>
    <row r="567">
      <c r="A567" s="7">
        <v>44115.320493611114</v>
      </c>
      <c r="B567" s="8" t="s">
        <v>76</v>
      </c>
      <c r="C567" s="8">
        <v>60000.0</v>
      </c>
      <c r="D567" s="8" t="s">
        <v>69</v>
      </c>
      <c r="F567" s="8" t="s">
        <v>72</v>
      </c>
      <c r="G567" s="8">
        <v>3750.0</v>
      </c>
      <c r="H567" s="8" t="s">
        <v>45</v>
      </c>
      <c r="K567" s="8" t="s">
        <v>46</v>
      </c>
      <c r="L567" s="8" t="s">
        <v>37</v>
      </c>
      <c r="P567" s="9">
        <v>44114.0</v>
      </c>
      <c r="Q567" s="10">
        <v>0.04166666666424135</v>
      </c>
      <c r="R567" s="11" t="str">
        <f t="shared" si="1"/>
        <v>Пайка компонентов PRI</v>
      </c>
      <c r="S567" s="12" t="str">
        <f>iferror(VLOOKUP(C567,'ФИО'!A:B,2,0),"учётный код не найден")</f>
        <v>THT</v>
      </c>
      <c r="T567" s="13" t="str">
        <f t="shared" si="2"/>
        <v>ПУ 910-00349.A "Печатный узел основного блока E96 4LIN"</v>
      </c>
      <c r="U567" s="8">
        <v>220.0</v>
      </c>
      <c r="V567" s="8">
        <v>0.0</v>
      </c>
      <c r="W567" s="21" t="str">
        <f t="shared" si="63"/>
        <v>Данные не заполены</v>
      </c>
      <c r="X567" s="15" t="str">
        <f t="shared" si="31"/>
        <v>Данные не заполены</v>
      </c>
      <c r="Y567" s="15">
        <f t="shared" si="54"/>
        <v>0</v>
      </c>
    </row>
    <row r="568" hidden="1">
      <c r="A568" s="7">
        <v>44110.15123940972</v>
      </c>
      <c r="B568" s="8" t="s">
        <v>94</v>
      </c>
      <c r="C568" s="8">
        <v>20985.0</v>
      </c>
      <c r="D568" s="8" t="s">
        <v>69</v>
      </c>
      <c r="F568" s="8" t="s">
        <v>106</v>
      </c>
      <c r="G568" s="8">
        <v>3047.0</v>
      </c>
      <c r="H568" s="8" t="s">
        <v>29</v>
      </c>
      <c r="I568" s="8" t="s">
        <v>77</v>
      </c>
      <c r="L568" s="8" t="s">
        <v>31</v>
      </c>
      <c r="M568" s="8" t="s">
        <v>34</v>
      </c>
      <c r="N568" s="8"/>
      <c r="O568" s="8"/>
      <c r="P568" s="9">
        <v>44109.0</v>
      </c>
      <c r="Q568" s="10">
        <v>0.04166666666424135</v>
      </c>
      <c r="R568" s="11" t="str">
        <f t="shared" si="1"/>
        <v>Настройка SEHO PRI</v>
      </c>
      <c r="S568" s="16" t="str">
        <f>iferror(VLOOKUP(C568,'ФИО'!A:B,2,0),"учётный код не найден")</f>
        <v>Никонорова Наталия Владимировна</v>
      </c>
      <c r="T568" s="13" t="str">
        <f t="shared" si="2"/>
        <v>915-00081.A-Модуль Трик8 (Кибертех)</v>
      </c>
      <c r="U568" s="8">
        <v>0.0</v>
      </c>
      <c r="V568" s="8">
        <v>0.0</v>
      </c>
      <c r="W568" s="21" t="str">
        <f t="shared" si="63"/>
        <v>Данные не заполены</v>
      </c>
      <c r="X568" s="15" t="str">
        <f t="shared" si="31"/>
        <v>Данные не заполены</v>
      </c>
      <c r="Y568" s="15">
        <f t="shared" si="54"/>
        <v>0</v>
      </c>
    </row>
    <row r="569" hidden="1">
      <c r="A569" s="7">
        <v>44111.32411104167</v>
      </c>
      <c r="B569" s="8" t="s">
        <v>94</v>
      </c>
      <c r="C569" s="8">
        <v>20985.0</v>
      </c>
      <c r="D569" s="8" t="s">
        <v>69</v>
      </c>
      <c r="F569" s="8" t="s">
        <v>106</v>
      </c>
      <c r="G569" s="8">
        <v>3233.0</v>
      </c>
      <c r="H569" s="8" t="s">
        <v>29</v>
      </c>
      <c r="I569" s="8" t="s">
        <v>60</v>
      </c>
      <c r="L569" s="8" t="s">
        <v>31</v>
      </c>
      <c r="M569" s="8" t="s">
        <v>34</v>
      </c>
      <c r="N569" s="8"/>
      <c r="O569" s="8"/>
      <c r="P569" s="9">
        <v>44110.0</v>
      </c>
      <c r="Q569" s="10">
        <v>0.0625</v>
      </c>
      <c r="R569" s="11" t="str">
        <f t="shared" si="1"/>
        <v>Настройка SEHO PRI</v>
      </c>
      <c r="S569" s="16" t="str">
        <f>iferror(VLOOKUP(C569,'ФИО'!A:B,2,0),"учётный код не найден")</f>
        <v>Никонорова Наталия Владимировна</v>
      </c>
      <c r="T569" s="13" t="str">
        <f t="shared" si="2"/>
        <v>915-00102.A - ПБОК-2В АСЛБ.465285.013 (Квант)</v>
      </c>
      <c r="U569" s="8">
        <v>0.0</v>
      </c>
      <c r="V569" s="8">
        <v>0.0</v>
      </c>
      <c r="W569" s="21" t="str">
        <f t="shared" si="63"/>
        <v>Данные не заполены</v>
      </c>
      <c r="X569" s="15" t="str">
        <f t="shared" si="31"/>
        <v>Данные не заполены</v>
      </c>
      <c r="Y569" s="15">
        <f t="shared" si="54"/>
        <v>0</v>
      </c>
    </row>
    <row r="570" hidden="1">
      <c r="A570" s="7">
        <v>44121.33278976852</v>
      </c>
      <c r="B570" s="8" t="s">
        <v>126</v>
      </c>
      <c r="C570" s="8">
        <v>21927.0</v>
      </c>
      <c r="D570" s="8" t="s">
        <v>27</v>
      </c>
      <c r="E570" s="8" t="s">
        <v>101</v>
      </c>
      <c r="G570" s="8">
        <v>3754.0</v>
      </c>
      <c r="H570" s="8" t="s">
        <v>45</v>
      </c>
      <c r="K570" s="8" t="s">
        <v>119</v>
      </c>
      <c r="L570" s="8" t="s">
        <v>31</v>
      </c>
      <c r="M570" s="8" t="s">
        <v>34</v>
      </c>
      <c r="P570" s="9">
        <v>44120.0</v>
      </c>
      <c r="Q570" s="10">
        <v>0.03125</v>
      </c>
      <c r="R570" s="11" t="str">
        <f t="shared" si="1"/>
        <v>Настройка принтера Prim</v>
      </c>
      <c r="S570" s="16" t="str">
        <f>iferror(VLOOKUP(C570,'ФИО'!A:B,2,0),"учётный код не найден")</f>
        <v>Шергин Родион Олегович</v>
      </c>
      <c r="T570" s="13" t="str">
        <f t="shared" si="2"/>
        <v>ПУ 910-00134.B (A96 модуль 2CAN+2LIN)</v>
      </c>
      <c r="U570" s="8">
        <v>0.0</v>
      </c>
      <c r="V570" s="8">
        <v>0.0</v>
      </c>
      <c r="W570" s="17" t="str">
        <f t="shared" si="63"/>
        <v>Данные не заполены</v>
      </c>
      <c r="X570" s="14" t="str">
        <f t="shared" si="31"/>
        <v>Данные не заполены</v>
      </c>
      <c r="Y570" s="15">
        <f t="shared" si="54"/>
        <v>0</v>
      </c>
    </row>
    <row r="571" hidden="1">
      <c r="A571" s="7">
        <v>44125.829065763886</v>
      </c>
      <c r="B571" s="8" t="s">
        <v>127</v>
      </c>
      <c r="C571" s="8">
        <v>21927.0</v>
      </c>
      <c r="D571" s="8" t="s">
        <v>27</v>
      </c>
      <c r="E571" s="8" t="s">
        <v>195</v>
      </c>
      <c r="G571" s="8">
        <v>3253.0</v>
      </c>
      <c r="H571" s="8" t="s">
        <v>29</v>
      </c>
      <c r="I571" s="8" t="s">
        <v>95</v>
      </c>
      <c r="L571" s="8" t="s">
        <v>37</v>
      </c>
      <c r="P571" s="9">
        <v>44125.0</v>
      </c>
      <c r="Q571" s="10">
        <v>0.16666666666424135</v>
      </c>
      <c r="R571" s="11" t="str">
        <f t="shared" si="1"/>
        <v>Проверка программы на АОИ PRI</v>
      </c>
      <c r="S571" s="16" t="str">
        <f>iferror(VLOOKUP(C571,'ФИО'!A:B,2,0),"учётный код не найден")</f>
        <v>Шергин Родион Олегович</v>
      </c>
      <c r="T571" s="11" t="str">
        <f t="shared" si="2"/>
        <v>915-00095.A - ПКД-8В-1 АСЛБ.467249.108 (Квант)</v>
      </c>
      <c r="U571" s="8">
        <v>6.0</v>
      </c>
      <c r="V571" s="8">
        <v>67.0</v>
      </c>
      <c r="W571" s="17" t="str">
        <f t="shared" si="63"/>
        <v>Данные не заполены</v>
      </c>
      <c r="X571" s="14" t="str">
        <f t="shared" si="31"/>
        <v>Данные не заполены</v>
      </c>
      <c r="Y571" s="15">
        <f t="shared" si="54"/>
        <v>11.16666667</v>
      </c>
    </row>
    <row r="572" hidden="1">
      <c r="A572" s="7">
        <v>44115.326572986116</v>
      </c>
      <c r="B572" s="8" t="s">
        <v>76</v>
      </c>
      <c r="C572" s="8">
        <v>50000.0</v>
      </c>
      <c r="D572" s="8" t="s">
        <v>27</v>
      </c>
      <c r="E572" s="8" t="s">
        <v>67</v>
      </c>
      <c r="G572" s="8">
        <v>3750.0</v>
      </c>
      <c r="H572" s="8" t="s">
        <v>45</v>
      </c>
      <c r="K572" s="8" t="s">
        <v>46</v>
      </c>
      <c r="L572" s="8" t="s">
        <v>37</v>
      </c>
      <c r="N572" s="8">
        <v>4.0</v>
      </c>
      <c r="O572" s="8">
        <v>61.0</v>
      </c>
      <c r="P572" s="9">
        <v>44114.0</v>
      </c>
      <c r="Q572" s="10">
        <v>0.375</v>
      </c>
      <c r="R572" s="11" t="str">
        <f t="shared" si="1"/>
        <v>Сборка на линии Prim</v>
      </c>
      <c r="S572" s="16" t="str">
        <f>iferror(VLOOKUP(C572,'ФИО'!A:B,2,0),"учётный код не найден")</f>
        <v>SMT</v>
      </c>
      <c r="T572" s="13" t="str">
        <f t="shared" si="2"/>
        <v>ПУ 910-00349.A "Печатный узел основного блока E96 4LIN"</v>
      </c>
      <c r="U572" s="8">
        <v>1084.0</v>
      </c>
      <c r="V572" s="8">
        <v>0.0</v>
      </c>
      <c r="W572" s="21">
        <f t="shared" si="63"/>
        <v>1763.17377</v>
      </c>
      <c r="X572" s="15">
        <f t="shared" si="31"/>
        <v>0.7514227531</v>
      </c>
      <c r="Y572" s="15">
        <f t="shared" si="54"/>
        <v>0</v>
      </c>
    </row>
    <row r="573" hidden="1">
      <c r="A573" s="7">
        <v>44105.84860607639</v>
      </c>
      <c r="B573" s="8" t="s">
        <v>26</v>
      </c>
      <c r="C573" s="8">
        <v>21475.0</v>
      </c>
      <c r="D573" s="18" t="s">
        <v>69</v>
      </c>
      <c r="F573" s="8" t="s">
        <v>103</v>
      </c>
      <c r="G573" s="18">
        <v>3370.0</v>
      </c>
      <c r="H573" s="8" t="s">
        <v>29</v>
      </c>
      <c r="I573" s="8" t="s">
        <v>73</v>
      </c>
      <c r="L573" s="18" t="s">
        <v>37</v>
      </c>
      <c r="P573" s="19">
        <v>44105.0</v>
      </c>
      <c r="Q573" s="20">
        <v>0.0625</v>
      </c>
      <c r="R573" s="13" t="str">
        <f t="shared" si="1"/>
        <v>Проверка на АОИ PRI</v>
      </c>
      <c r="S573" s="16" t="str">
        <f>iferror(VLOOKUP(C573,'ФИО'!A:B,2,0),"учётный код не найден")</f>
        <v>Байрамашвили Альберт Зурабович</v>
      </c>
      <c r="T573" s="13" t="str">
        <f t="shared" si="2"/>
        <v>915-00114.A - ПБЭС-37П АСЛБ.467291.010-01 (Квант)</v>
      </c>
      <c r="U573" s="8">
        <v>48.0</v>
      </c>
      <c r="V573" s="8">
        <v>0.0</v>
      </c>
      <c r="W573" s="21" t="str">
        <f t="shared" si="63"/>
        <v>Данные не заполены</v>
      </c>
      <c r="X573" s="15" t="str">
        <f t="shared" si="31"/>
        <v>Данные не заполены</v>
      </c>
      <c r="Y573" s="15">
        <f t="shared" si="54"/>
        <v>0</v>
      </c>
    </row>
    <row r="574" hidden="1">
      <c r="A574" s="7">
        <v>44117.32535359953</v>
      </c>
      <c r="B574" s="8" t="s">
        <v>38</v>
      </c>
      <c r="C574" s="8">
        <v>21803.0</v>
      </c>
      <c r="D574" s="8" t="s">
        <v>27</v>
      </c>
      <c r="E574" s="8" t="s">
        <v>65</v>
      </c>
      <c r="G574" s="8">
        <v>3622.0</v>
      </c>
      <c r="H574" s="8" t="s">
        <v>29</v>
      </c>
      <c r="I574" s="8" t="s">
        <v>90</v>
      </c>
      <c r="L574" s="8" t="s">
        <v>31</v>
      </c>
      <c r="M574" s="8" t="s">
        <v>34</v>
      </c>
      <c r="N574" s="8"/>
      <c r="O574" s="8"/>
      <c r="P574" s="9">
        <v>44116.0</v>
      </c>
      <c r="Q574" s="10">
        <v>0.125</v>
      </c>
      <c r="R574" s="11" t="str">
        <f t="shared" si="1"/>
        <v>Проверка комплектации</v>
      </c>
      <c r="S574" s="16" t="str">
        <f>iferror(VLOOKUP(C574,'ФИО'!A:B,2,0),"учётный код не найден")</f>
        <v>Белоглазова Виктория Сергеевна</v>
      </c>
      <c r="T574" s="13" t="str">
        <f t="shared" si="2"/>
        <v>915-00124.A - Tioga Pass_v1.1 (Гагар.ин)</v>
      </c>
      <c r="U574" s="8">
        <v>0.0</v>
      </c>
      <c r="V574" s="8">
        <v>0.0</v>
      </c>
      <c r="W574" s="21" t="str">
        <f t="shared" si="63"/>
        <v>Данные не заполены</v>
      </c>
      <c r="X574" s="15" t="str">
        <f t="shared" si="31"/>
        <v>Данные не заполены</v>
      </c>
      <c r="Y574" s="15">
        <f t="shared" si="54"/>
        <v>0</v>
      </c>
    </row>
    <row r="575" hidden="1">
      <c r="A575" s="7">
        <v>44108.32592282408</v>
      </c>
      <c r="B575" s="8" t="s">
        <v>38</v>
      </c>
      <c r="C575" s="8">
        <v>21803.0</v>
      </c>
      <c r="D575" s="8" t="s">
        <v>69</v>
      </c>
      <c r="F575" s="8" t="s">
        <v>103</v>
      </c>
      <c r="G575" s="8">
        <v>3047.0</v>
      </c>
      <c r="H575" s="8" t="s">
        <v>29</v>
      </c>
      <c r="I575" s="8" t="s">
        <v>77</v>
      </c>
      <c r="L575" s="8" t="s">
        <v>37</v>
      </c>
      <c r="P575" s="9">
        <v>44107.0</v>
      </c>
      <c r="Q575" s="10">
        <v>0.020833333335758653</v>
      </c>
      <c r="R575" s="11" t="str">
        <f t="shared" si="1"/>
        <v>Проверка на АОИ PRI</v>
      </c>
      <c r="S575" s="16" t="str">
        <f>iferror(VLOOKUP(C575,'ФИО'!A:B,2,0),"учётный код не найден")</f>
        <v>Белоглазова Виктория Сергеевна</v>
      </c>
      <c r="T575" s="13" t="str">
        <f t="shared" si="2"/>
        <v>915-00081.A-Модуль Трик8 (Кибертех)</v>
      </c>
      <c r="U575" s="8">
        <v>0.0</v>
      </c>
      <c r="V575" s="8">
        <v>0.0</v>
      </c>
      <c r="W575" s="21" t="str">
        <f t="shared" si="63"/>
        <v>Данные не заполены</v>
      </c>
      <c r="X575" s="15" t="str">
        <f t="shared" si="31"/>
        <v>Данные не заполены</v>
      </c>
      <c r="Y575" s="15">
        <f t="shared" si="54"/>
        <v>0</v>
      </c>
    </row>
    <row r="576" hidden="1">
      <c r="A576" s="7">
        <v>44112.83094013889</v>
      </c>
      <c r="B576" s="8" t="s">
        <v>26</v>
      </c>
      <c r="C576" s="8">
        <v>21752.0</v>
      </c>
      <c r="D576" s="8" t="s">
        <v>69</v>
      </c>
      <c r="F576" s="8" t="s">
        <v>72</v>
      </c>
      <c r="G576" s="8">
        <v>3232.0</v>
      </c>
      <c r="H576" s="8" t="s">
        <v>29</v>
      </c>
      <c r="I576" s="8" t="s">
        <v>63</v>
      </c>
      <c r="L576" s="8" t="s">
        <v>37</v>
      </c>
      <c r="P576" s="9">
        <v>44112.0</v>
      </c>
      <c r="Q576" s="10">
        <v>0.04166666666424135</v>
      </c>
      <c r="R576" s="11" t="str">
        <f t="shared" si="1"/>
        <v>Пайка компонентов PRI</v>
      </c>
      <c r="S576" s="16" t="str">
        <f>iferror(VLOOKUP(C576,'ФИО'!A:B,2,0),"учётный код не найден")</f>
        <v>Егоров Александр Александрович</v>
      </c>
      <c r="T576" s="13" t="str">
        <f t="shared" si="2"/>
        <v>915-00103.A - ПБОК-1В АСЛБ.465285.012 (Квант)</v>
      </c>
      <c r="U576" s="8">
        <v>0.0</v>
      </c>
      <c r="V576" s="8">
        <v>0.0</v>
      </c>
      <c r="W576" s="21" t="str">
        <f t="shared" si="63"/>
        <v>Данные не заполены</v>
      </c>
      <c r="X576" s="15" t="str">
        <f t="shared" si="31"/>
        <v>Данные не заполены</v>
      </c>
      <c r="Y576" s="15">
        <f t="shared" si="54"/>
        <v>0</v>
      </c>
    </row>
    <row r="577" hidden="1">
      <c r="A577" s="7">
        <v>44109.32432530093</v>
      </c>
      <c r="B577" s="8" t="s">
        <v>38</v>
      </c>
      <c r="C577" s="8">
        <v>21752.0</v>
      </c>
      <c r="D577" s="8" t="s">
        <v>69</v>
      </c>
      <c r="F577" s="8" t="s">
        <v>80</v>
      </c>
      <c r="G577" s="8">
        <v>3047.0</v>
      </c>
      <c r="H577" s="8" t="s">
        <v>29</v>
      </c>
      <c r="I577" s="8" t="s">
        <v>77</v>
      </c>
      <c r="L577" s="8" t="s">
        <v>37</v>
      </c>
      <c r="P577" s="9">
        <v>44108.0</v>
      </c>
      <c r="Q577" s="10">
        <v>0.25</v>
      </c>
      <c r="R577" s="11" t="str">
        <f t="shared" si="1"/>
        <v>Пайка компонентов SEC</v>
      </c>
      <c r="S577" s="16" t="str">
        <f>iferror(VLOOKUP(C577,'ФИО'!A:B,2,0),"учётный код не найден")</f>
        <v>Егоров Александр Александрович</v>
      </c>
      <c r="T577" s="13" t="str">
        <f t="shared" si="2"/>
        <v>915-00081.A-Модуль Трик8 (Кибертех)</v>
      </c>
      <c r="U577" s="8">
        <v>0.0</v>
      </c>
      <c r="V577" s="8">
        <v>0.0</v>
      </c>
      <c r="W577" s="21" t="str">
        <f t="shared" si="63"/>
        <v>Данные не заполены</v>
      </c>
      <c r="X577" s="15" t="str">
        <f t="shared" si="31"/>
        <v>Данные не заполены</v>
      </c>
      <c r="Y577" s="15">
        <f t="shared" si="54"/>
        <v>0</v>
      </c>
    </row>
    <row r="578" hidden="1">
      <c r="A578" s="7">
        <v>44132.332349062504</v>
      </c>
      <c r="B578" s="8" t="s">
        <v>38</v>
      </c>
      <c r="C578" s="8">
        <v>21752.0</v>
      </c>
      <c r="D578" s="8" t="s">
        <v>27</v>
      </c>
      <c r="E578" s="8" t="s">
        <v>86</v>
      </c>
      <c r="L578" s="8" t="s">
        <v>31</v>
      </c>
      <c r="M578" s="8" t="s">
        <v>34</v>
      </c>
      <c r="P578" s="9">
        <v>44131.0</v>
      </c>
      <c r="Q578" s="10">
        <v>0.010416666664241347</v>
      </c>
      <c r="R578" s="11" t="str">
        <f t="shared" si="1"/>
        <v>Проведение обучения</v>
      </c>
      <c r="S578" s="12" t="str">
        <f>iferror(VLOOKUP(C578,'ФИО'!A:B,2,0),"учётный код не найден")</f>
        <v>Егоров Александр Александрович</v>
      </c>
      <c r="T578" s="13" t="str">
        <f t="shared" si="2"/>
        <v/>
      </c>
      <c r="X578" s="14" t="str">
        <f t="shared" si="31"/>
        <v>Данные не заполены</v>
      </c>
      <c r="Y578" s="15">
        <f t="shared" si="54"/>
        <v>0</v>
      </c>
    </row>
    <row r="579" hidden="1">
      <c r="A579" s="7">
        <v>44120.83288795139</v>
      </c>
      <c r="B579" s="8" t="s">
        <v>26</v>
      </c>
      <c r="C579" s="8">
        <v>20751.0</v>
      </c>
      <c r="D579" s="8" t="s">
        <v>69</v>
      </c>
      <c r="F579" s="8" t="s">
        <v>106</v>
      </c>
      <c r="G579" s="8">
        <v>3579.0</v>
      </c>
      <c r="H579" s="8" t="s">
        <v>29</v>
      </c>
      <c r="I579" s="8" t="s">
        <v>42</v>
      </c>
      <c r="L579" s="8" t="s">
        <v>31</v>
      </c>
      <c r="M579" s="8" t="s">
        <v>34</v>
      </c>
      <c r="P579" s="9">
        <v>44120.0</v>
      </c>
      <c r="Q579" s="10">
        <v>0.020833333335758653</v>
      </c>
      <c r="R579" s="11" t="str">
        <f t="shared" si="1"/>
        <v>Настройка SEHO PRI</v>
      </c>
      <c r="S579" s="16" t="str">
        <f>iferror(VLOOKUP(C579,'ФИО'!A:B,2,0),"учётный код не найден")</f>
        <v>Кезерев Виталий Романович</v>
      </c>
      <c r="T579" s="13" t="str">
        <f t="shared" si="2"/>
        <v>915-00070.A - Модуль телематики ТМ1 v3 (Сознательные машины)</v>
      </c>
      <c r="U579" s="8">
        <v>0.0</v>
      </c>
      <c r="V579" s="8">
        <v>0.0</v>
      </c>
      <c r="W579" s="17" t="str">
        <f>IFERROR((((38412/(ifs(O579&lt;35,35,O579&gt;34,O579)/N579)*0.7))),"Данные не заполены")</f>
        <v>Данные не заполены</v>
      </c>
      <c r="X579" s="14" t="str">
        <f t="shared" si="31"/>
        <v>Данные не заполены</v>
      </c>
      <c r="Y579" s="15">
        <f t="shared" si="54"/>
        <v>0</v>
      </c>
    </row>
    <row r="580" hidden="1">
      <c r="A580" s="7">
        <v>44124.31455578704</v>
      </c>
      <c r="B580" s="8" t="s">
        <v>38</v>
      </c>
      <c r="C580" s="8">
        <v>20751.0</v>
      </c>
      <c r="D580" s="8" t="s">
        <v>69</v>
      </c>
      <c r="F580" s="8" t="s">
        <v>106</v>
      </c>
      <c r="G580" s="8">
        <v>3047.0</v>
      </c>
      <c r="H580" s="8" t="s">
        <v>29</v>
      </c>
      <c r="I580" s="8" t="s">
        <v>77</v>
      </c>
      <c r="L580" s="8" t="s">
        <v>31</v>
      </c>
      <c r="M580" s="8" t="s">
        <v>34</v>
      </c>
      <c r="P580" s="9">
        <v>44123.0</v>
      </c>
      <c r="Q580" s="10">
        <v>0.04166666666424135</v>
      </c>
      <c r="R580" s="11" t="str">
        <f t="shared" si="1"/>
        <v>Настройка SEHO PRI</v>
      </c>
      <c r="S580" s="16" t="str">
        <f>iferror(VLOOKUP(C580,'ФИО'!A:B,2,0),"учётный код не найден")</f>
        <v>Кезерев Виталий Романович</v>
      </c>
      <c r="T580" s="13" t="str">
        <f t="shared" si="2"/>
        <v>915-00081.A-Модуль Трик8 (Кибертех)</v>
      </c>
      <c r="U580" s="8">
        <v>0.0</v>
      </c>
      <c r="V580" s="8">
        <v>0.0</v>
      </c>
      <c r="X580" s="14" t="str">
        <f t="shared" si="31"/>
        <v>Данные не заполены</v>
      </c>
      <c r="Y580" s="15">
        <f t="shared" si="54"/>
        <v>0</v>
      </c>
    </row>
    <row r="581" hidden="1">
      <c r="A581" s="7">
        <v>44120.65872841435</v>
      </c>
      <c r="B581" s="8" t="s">
        <v>26</v>
      </c>
      <c r="C581" s="8">
        <v>20015.0</v>
      </c>
      <c r="D581" s="8" t="s">
        <v>69</v>
      </c>
      <c r="F581" s="8" t="s">
        <v>181</v>
      </c>
      <c r="G581" s="8">
        <v>3238.0</v>
      </c>
      <c r="H581" s="8" t="s">
        <v>29</v>
      </c>
      <c r="I581" s="8" t="s">
        <v>43</v>
      </c>
      <c r="L581" s="8" t="s">
        <v>31</v>
      </c>
      <c r="M581" s="8" t="s">
        <v>34</v>
      </c>
      <c r="P581" s="9">
        <v>44120.0</v>
      </c>
      <c r="Q581" s="10">
        <v>0.020833333335758653</v>
      </c>
      <c r="R581" s="11" t="str">
        <f t="shared" si="1"/>
        <v>Написание программы для АОИ SEC</v>
      </c>
      <c r="S581" s="16" t="str">
        <f>iferror(VLOOKUP(C581,'ФИО'!A:B,2,0),"учётный код не найден")</f>
        <v>Ельцов Андрей Николаевич</v>
      </c>
      <c r="T581" s="13" t="str">
        <f t="shared" si="2"/>
        <v>915-00097.A - ПКД-8В-3 АСЛБ.467249.110 (Квант)</v>
      </c>
      <c r="U581" s="8">
        <v>0.0</v>
      </c>
      <c r="V581" s="8">
        <v>0.0</v>
      </c>
      <c r="W581" s="17" t="str">
        <f t="shared" ref="W581:W582" si="64">IFERROR((((38412/(ifs(O581&lt;35,35,O581&gt;34,O581)/N581)*0.7))),"Данные не заполены")</f>
        <v>Данные не заполены</v>
      </c>
      <c r="X581" s="14" t="str">
        <f t="shared" si="31"/>
        <v>Данные не заполены</v>
      </c>
      <c r="Y581" s="15">
        <f t="shared" si="54"/>
        <v>0</v>
      </c>
    </row>
    <row r="582" hidden="1">
      <c r="A582" s="7">
        <v>44120.66222298611</v>
      </c>
      <c r="B582" s="8" t="s">
        <v>26</v>
      </c>
      <c r="C582" s="8">
        <v>20015.0</v>
      </c>
      <c r="D582" s="8" t="s">
        <v>69</v>
      </c>
      <c r="F582" s="8" t="s">
        <v>181</v>
      </c>
      <c r="G582" s="8">
        <v>3233.0</v>
      </c>
      <c r="H582" s="8" t="s">
        <v>29</v>
      </c>
      <c r="I582" s="8" t="s">
        <v>60</v>
      </c>
      <c r="L582" s="8" t="s">
        <v>31</v>
      </c>
      <c r="M582" s="8" t="s">
        <v>34</v>
      </c>
      <c r="P582" s="9">
        <v>44120.0</v>
      </c>
      <c r="Q582" s="10">
        <v>0.020833333335758653</v>
      </c>
      <c r="R582" s="11" t="str">
        <f t="shared" si="1"/>
        <v>Написание программы для АОИ SEC</v>
      </c>
      <c r="S582" s="16" t="str">
        <f>iferror(VLOOKUP(C582,'ФИО'!A:B,2,0),"учётный код не найден")</f>
        <v>Ельцов Андрей Николаевич</v>
      </c>
      <c r="T582" s="13" t="str">
        <f t="shared" si="2"/>
        <v>915-00102.A - ПБОК-2В АСЛБ.465285.013 (Квант)</v>
      </c>
      <c r="U582" s="8">
        <v>0.0</v>
      </c>
      <c r="V582" s="8">
        <v>0.0</v>
      </c>
      <c r="W582" s="17" t="str">
        <f t="shared" si="64"/>
        <v>Данные не заполены</v>
      </c>
      <c r="X582" s="14" t="str">
        <f t="shared" si="31"/>
        <v>Данные не заполены</v>
      </c>
      <c r="Y582" s="15">
        <f t="shared" si="54"/>
        <v>0</v>
      </c>
    </row>
    <row r="583" hidden="1">
      <c r="A583" s="7">
        <v>44129.36730133102</v>
      </c>
      <c r="B583" s="8" t="s">
        <v>26</v>
      </c>
      <c r="C583" s="8">
        <v>22087.0</v>
      </c>
      <c r="D583" s="8" t="s">
        <v>69</v>
      </c>
      <c r="F583" s="8" t="s">
        <v>72</v>
      </c>
      <c r="G583" s="8">
        <v>3253.0</v>
      </c>
      <c r="H583" s="8" t="s">
        <v>29</v>
      </c>
      <c r="I583" s="8" t="s">
        <v>95</v>
      </c>
      <c r="L583" s="8" t="s">
        <v>37</v>
      </c>
      <c r="P583" s="9">
        <v>44128.0</v>
      </c>
      <c r="Q583" s="10">
        <v>0.10763888889050577</v>
      </c>
      <c r="R583" s="11" t="str">
        <f t="shared" si="1"/>
        <v>Пайка компонентов PRI</v>
      </c>
      <c r="S583" s="12" t="str">
        <f>iferror(VLOOKUP(C583,'ФИО'!A:B,2,0),"учётный код не найден")</f>
        <v>Хохряков Илья Александрович</v>
      </c>
      <c r="T583" s="13" t="str">
        <f t="shared" si="2"/>
        <v>915-00095.A - ПКД-8В-1 АСЛБ.467249.108 (Квант)</v>
      </c>
      <c r="U583" s="8">
        <v>0.0</v>
      </c>
      <c r="V583" s="8">
        <v>0.0</v>
      </c>
      <c r="X583" s="14" t="str">
        <f t="shared" si="31"/>
        <v>Данные не заполены</v>
      </c>
      <c r="Y583" s="15">
        <f t="shared" si="54"/>
        <v>0</v>
      </c>
    </row>
    <row r="584" hidden="1">
      <c r="A584" s="7">
        <v>44124.31361280092</v>
      </c>
      <c r="B584" s="8" t="s">
        <v>38</v>
      </c>
      <c r="C584" s="8">
        <v>20751.0</v>
      </c>
      <c r="D584" s="8" t="s">
        <v>69</v>
      </c>
      <c r="F584" s="8" t="s">
        <v>106</v>
      </c>
      <c r="G584" s="8">
        <v>3750.0</v>
      </c>
      <c r="H584" s="8" t="s">
        <v>45</v>
      </c>
      <c r="K584" s="8" t="s">
        <v>46</v>
      </c>
      <c r="L584" s="8" t="s">
        <v>31</v>
      </c>
      <c r="M584" s="8" t="s">
        <v>34</v>
      </c>
      <c r="P584" s="9">
        <v>44123.0</v>
      </c>
      <c r="Q584" s="10">
        <v>0.04166666666424135</v>
      </c>
      <c r="R584" s="11" t="str">
        <f t="shared" si="1"/>
        <v>Настройка SEHO PRI</v>
      </c>
      <c r="S584" s="16" t="str">
        <f>iferror(VLOOKUP(C584,'ФИО'!A:B,2,0),"учётный код не найден")</f>
        <v>Кезерев Виталий Романович</v>
      </c>
      <c r="T584" s="13" t="str">
        <f t="shared" si="2"/>
        <v>ПУ 910-00349.A "Печатный узел основного блока E96 4LIN"</v>
      </c>
      <c r="U584" s="8">
        <v>0.0</v>
      </c>
      <c r="V584" s="8">
        <v>0.0</v>
      </c>
      <c r="X584" s="14" t="str">
        <f t="shared" si="31"/>
        <v>Данные не заполены</v>
      </c>
      <c r="Y584" s="15">
        <f t="shared" si="54"/>
        <v>0</v>
      </c>
    </row>
    <row r="585" hidden="1">
      <c r="A585" s="7">
        <v>44120.83187162037</v>
      </c>
      <c r="B585" s="8" t="s">
        <v>26</v>
      </c>
      <c r="C585" s="8">
        <v>20751.0</v>
      </c>
      <c r="D585" s="8" t="s">
        <v>69</v>
      </c>
      <c r="F585" s="8" t="s">
        <v>79</v>
      </c>
      <c r="G585" s="8">
        <v>2796.0</v>
      </c>
      <c r="H585" s="8" t="s">
        <v>29</v>
      </c>
      <c r="I585" s="8" t="s">
        <v>183</v>
      </c>
      <c r="L585" s="8" t="s">
        <v>31</v>
      </c>
      <c r="M585" s="8" t="s">
        <v>34</v>
      </c>
      <c r="P585" s="9">
        <v>44120.0</v>
      </c>
      <c r="Q585" s="10">
        <v>0.020833333335758653</v>
      </c>
      <c r="R585" s="11" t="str">
        <f t="shared" si="1"/>
        <v>Настройка SEHO SEC</v>
      </c>
      <c r="S585" s="16" t="str">
        <f>iferror(VLOOKUP(C585,'ФИО'!A:B,2,0),"учётный код не найден")</f>
        <v>Кезерев Виталий Романович</v>
      </c>
      <c r="T585" s="13" t="str">
        <f t="shared" si="2"/>
        <v>IKZ_35_v1_1-ANALOG (Антракс)</v>
      </c>
      <c r="U585" s="8">
        <v>0.0</v>
      </c>
      <c r="V585" s="8">
        <v>0.0</v>
      </c>
      <c r="W585" s="17" t="str">
        <f>IFERROR((((38412/(ifs(O585&lt;35,35,O585&gt;34,O585)/N585)*0.7))),"Данные не заполены")</f>
        <v>Данные не заполены</v>
      </c>
      <c r="X585" s="14" t="str">
        <f t="shared" si="31"/>
        <v>Данные не заполены</v>
      </c>
      <c r="Y585" s="15">
        <f t="shared" si="54"/>
        <v>0</v>
      </c>
    </row>
    <row r="586" hidden="1">
      <c r="A586" s="7">
        <v>44129.359163217596</v>
      </c>
      <c r="B586" s="8" t="s">
        <v>26</v>
      </c>
      <c r="C586" s="8">
        <v>22087.0</v>
      </c>
      <c r="D586" s="8" t="s">
        <v>69</v>
      </c>
      <c r="F586" s="8" t="s">
        <v>72</v>
      </c>
      <c r="G586" s="8">
        <v>3667.0</v>
      </c>
      <c r="H586" s="8" t="s">
        <v>45</v>
      </c>
      <c r="K586" s="8" t="s">
        <v>155</v>
      </c>
      <c r="L586" s="8" t="s">
        <v>37</v>
      </c>
      <c r="P586" s="9">
        <v>44128.0</v>
      </c>
      <c r="Q586" s="10">
        <v>0.07291666666424135</v>
      </c>
      <c r="R586" s="11" t="str">
        <f t="shared" si="1"/>
        <v>Пайка компонентов PRI</v>
      </c>
      <c r="S586" s="12" t="str">
        <f>iferror(VLOOKUP(C586,'ФИО'!A:B,2,0),"учётный код не найден")</f>
        <v>Хохряков Илья Александрович</v>
      </c>
      <c r="T586" s="13" t="str">
        <f t="shared" si="2"/>
        <v>ПУ N11 910-00188.B</v>
      </c>
      <c r="U586" s="8">
        <v>0.0</v>
      </c>
      <c r="V586" s="8">
        <v>0.0</v>
      </c>
      <c r="X586" s="14" t="str">
        <f t="shared" si="31"/>
        <v>Данные не заполены</v>
      </c>
      <c r="Y586" s="15">
        <f t="shared" si="54"/>
        <v>0</v>
      </c>
    </row>
    <row r="587" hidden="1">
      <c r="A587" s="7">
        <v>44105.83603701388</v>
      </c>
      <c r="B587" s="8" t="s">
        <v>26</v>
      </c>
      <c r="C587" s="8">
        <v>20751.0</v>
      </c>
      <c r="D587" s="18" t="s">
        <v>69</v>
      </c>
      <c r="F587" s="8" t="s">
        <v>72</v>
      </c>
      <c r="G587" s="18">
        <v>3424.0</v>
      </c>
      <c r="H587" s="8" t="s">
        <v>29</v>
      </c>
      <c r="I587" s="8" t="s">
        <v>139</v>
      </c>
      <c r="L587" s="18" t="s">
        <v>37</v>
      </c>
      <c r="P587" s="19">
        <v>44105.0</v>
      </c>
      <c r="Q587" s="20">
        <v>0.10069444444444445</v>
      </c>
      <c r="R587" s="13" t="str">
        <f t="shared" si="1"/>
        <v>Пайка компонентов PRI</v>
      </c>
      <c r="S587" s="16" t="str">
        <f>iferror(VLOOKUP(C587,'ФИО'!A:B,2,0),"учётный код не найден")</f>
        <v>Кезерев Виталий Романович</v>
      </c>
      <c r="T587" s="13" t="str">
        <f t="shared" si="2"/>
        <v>ИПТ-СА-А1R-л (Гефест)</v>
      </c>
      <c r="U587" s="8">
        <v>280.0</v>
      </c>
      <c r="V587" s="8">
        <v>0.0</v>
      </c>
      <c r="W587" s="21" t="str">
        <f t="shared" ref="W587:W603" si="65">IFERROR((((38412/(ifs(O587&lt;35,35,O587&gt;34,O587)/N587)*0.7))),"Данные не заполены")</f>
        <v>Данные не заполены</v>
      </c>
      <c r="X587" s="15" t="str">
        <f t="shared" si="31"/>
        <v>Данные не заполены</v>
      </c>
      <c r="Y587" s="15">
        <f t="shared" si="54"/>
        <v>0</v>
      </c>
    </row>
    <row r="588" hidden="1">
      <c r="A588" s="7">
        <v>44109.31187988426</v>
      </c>
      <c r="B588" s="8" t="s">
        <v>38</v>
      </c>
      <c r="C588" s="8">
        <v>21803.0</v>
      </c>
      <c r="D588" s="8" t="s">
        <v>69</v>
      </c>
      <c r="F588" s="8" t="s">
        <v>103</v>
      </c>
      <c r="G588" s="8">
        <v>3579.0</v>
      </c>
      <c r="H588" s="8" t="s">
        <v>29</v>
      </c>
      <c r="I588" s="8" t="s">
        <v>42</v>
      </c>
      <c r="L588" s="8" t="s">
        <v>37</v>
      </c>
      <c r="P588" s="9">
        <v>44108.0</v>
      </c>
      <c r="Q588" s="10">
        <v>0.020833333335758653</v>
      </c>
      <c r="R588" s="11" t="str">
        <f t="shared" si="1"/>
        <v>Проверка на АОИ PRI</v>
      </c>
      <c r="S588" s="16" t="str">
        <f>iferror(VLOOKUP(C588,'ФИО'!A:B,2,0),"учётный код не найден")</f>
        <v>Белоглазова Виктория Сергеевна</v>
      </c>
      <c r="T588" s="13" t="str">
        <f t="shared" si="2"/>
        <v>915-00070.A - Модуль телематики ТМ1 v3 (Сознательные машины)</v>
      </c>
      <c r="U588" s="8">
        <v>0.0</v>
      </c>
      <c r="V588" s="8">
        <v>0.0</v>
      </c>
      <c r="W588" s="21" t="str">
        <f t="shared" si="65"/>
        <v>Данные не заполены</v>
      </c>
      <c r="X588" s="15" t="str">
        <f t="shared" si="31"/>
        <v>Данные не заполены</v>
      </c>
      <c r="Y588" s="15">
        <f t="shared" si="54"/>
        <v>0</v>
      </c>
    </row>
    <row r="589" hidden="1">
      <c r="A589" s="7">
        <v>44109.31303300926</v>
      </c>
      <c r="B589" s="8" t="s">
        <v>38</v>
      </c>
      <c r="C589" s="8">
        <v>21803.0</v>
      </c>
      <c r="D589" s="8" t="s">
        <v>69</v>
      </c>
      <c r="F589" s="8" t="s">
        <v>103</v>
      </c>
      <c r="G589" s="8">
        <v>3047.0</v>
      </c>
      <c r="H589" s="8" t="s">
        <v>29</v>
      </c>
      <c r="I589" s="8" t="s">
        <v>77</v>
      </c>
      <c r="L589" s="8" t="s">
        <v>31</v>
      </c>
      <c r="M589" s="8" t="s">
        <v>34</v>
      </c>
      <c r="N589" s="8"/>
      <c r="O589" s="8"/>
      <c r="P589" s="9">
        <v>44108.0</v>
      </c>
      <c r="Q589" s="10">
        <v>0.04166666666424135</v>
      </c>
      <c r="R589" s="11" t="str">
        <f t="shared" si="1"/>
        <v>Проверка на АОИ PRI</v>
      </c>
      <c r="S589" s="16" t="str">
        <f>iferror(VLOOKUP(C589,'ФИО'!A:B,2,0),"учётный код не найден")</f>
        <v>Белоглазова Виктория Сергеевна</v>
      </c>
      <c r="T589" s="13" t="str">
        <f t="shared" si="2"/>
        <v>915-00081.A-Модуль Трик8 (Кибертех)</v>
      </c>
      <c r="U589" s="8">
        <v>0.0</v>
      </c>
      <c r="V589" s="8">
        <v>0.0</v>
      </c>
      <c r="W589" s="21" t="str">
        <f t="shared" si="65"/>
        <v>Данные не заполены</v>
      </c>
      <c r="X589" s="15" t="str">
        <f t="shared" si="31"/>
        <v>Данные не заполены</v>
      </c>
      <c r="Y589" s="15">
        <f t="shared" si="54"/>
        <v>0</v>
      </c>
      <c r="Z589" s="8" t="s">
        <v>196</v>
      </c>
    </row>
    <row r="590" hidden="1">
      <c r="A590" s="7">
        <v>44121.82930846065</v>
      </c>
      <c r="B590" s="8" t="s">
        <v>26</v>
      </c>
      <c r="C590" s="8">
        <v>21803.0</v>
      </c>
      <c r="D590" s="8" t="s">
        <v>69</v>
      </c>
      <c r="F590" s="8" t="s">
        <v>103</v>
      </c>
      <c r="G590" s="8">
        <v>3238.0</v>
      </c>
      <c r="H590" s="8" t="s">
        <v>29</v>
      </c>
      <c r="I590" s="8" t="s">
        <v>43</v>
      </c>
      <c r="L590" s="8" t="s">
        <v>37</v>
      </c>
      <c r="P590" s="9">
        <v>44121.0</v>
      </c>
      <c r="Q590" s="10">
        <v>0.013888888890505768</v>
      </c>
      <c r="R590" s="11" t="str">
        <f t="shared" si="1"/>
        <v>Проверка на АОИ PRI</v>
      </c>
      <c r="S590" s="16" t="str">
        <f>iferror(VLOOKUP(C590,'ФИО'!A:B,2,0),"учётный код не найден")</f>
        <v>Белоглазова Виктория Сергеевна</v>
      </c>
      <c r="T590" s="13" t="str">
        <f t="shared" si="2"/>
        <v>915-00097.A - ПКД-8В-3 АСЛБ.467249.110 (Квант)</v>
      </c>
      <c r="U590" s="8">
        <v>12.0</v>
      </c>
      <c r="V590" s="8">
        <v>0.0</v>
      </c>
      <c r="W590" s="17" t="str">
        <f t="shared" si="65"/>
        <v>Данные не заполены</v>
      </c>
      <c r="X590" s="14" t="str">
        <f t="shared" si="31"/>
        <v>Данные не заполены</v>
      </c>
      <c r="Y590" s="15">
        <f t="shared" si="54"/>
        <v>0</v>
      </c>
    </row>
    <row r="591" hidden="1">
      <c r="A591" s="7">
        <v>44118.326456574076</v>
      </c>
      <c r="B591" s="8" t="s">
        <v>94</v>
      </c>
      <c r="C591" s="8">
        <v>22575.0</v>
      </c>
      <c r="D591" s="8" t="s">
        <v>27</v>
      </c>
      <c r="E591" s="8" t="s">
        <v>109</v>
      </c>
      <c r="G591" s="8">
        <v>3622.0</v>
      </c>
      <c r="H591" s="8" t="s">
        <v>29</v>
      </c>
      <c r="I591" s="8" t="s">
        <v>90</v>
      </c>
      <c r="L591" s="8" t="s">
        <v>31</v>
      </c>
      <c r="M591" s="8" t="s">
        <v>34</v>
      </c>
      <c r="P591" s="9">
        <v>44117.0</v>
      </c>
      <c r="Q591" s="10">
        <v>0.08333333333575865</v>
      </c>
      <c r="R591" s="11" t="str">
        <f t="shared" si="1"/>
        <v>Установка компонентов вручную</v>
      </c>
      <c r="S591" s="16" t="str">
        <f>iferror(VLOOKUP(C591,'ФИО'!A:B,2,0),"учётный код не найден")</f>
        <v>Куликов Виктор Алексеевич</v>
      </c>
      <c r="T591" s="13" t="str">
        <f t="shared" si="2"/>
        <v>915-00124.A - Tioga Pass_v1.1 (Гагар.ин)</v>
      </c>
      <c r="U591" s="8">
        <v>0.0</v>
      </c>
      <c r="V591" s="8">
        <v>0.0</v>
      </c>
      <c r="W591" s="17" t="str">
        <f t="shared" si="65"/>
        <v>Данные не заполены</v>
      </c>
      <c r="X591" s="14" t="str">
        <f t="shared" si="31"/>
        <v>Данные не заполены</v>
      </c>
      <c r="Y591" s="15">
        <f t="shared" si="54"/>
        <v>0</v>
      </c>
    </row>
    <row r="592" hidden="1">
      <c r="A592" s="7">
        <v>44118.327671921295</v>
      </c>
      <c r="B592" s="8" t="s">
        <v>94</v>
      </c>
      <c r="C592" s="8">
        <v>22575.0</v>
      </c>
      <c r="D592" s="8" t="s">
        <v>27</v>
      </c>
      <c r="E592" s="8" t="s">
        <v>85</v>
      </c>
      <c r="G592" s="8">
        <v>3622.0</v>
      </c>
      <c r="H592" s="8" t="s">
        <v>29</v>
      </c>
      <c r="I592" s="8" t="s">
        <v>90</v>
      </c>
      <c r="L592" s="8" t="s">
        <v>31</v>
      </c>
      <c r="M592" s="8" t="s">
        <v>34</v>
      </c>
      <c r="P592" s="9">
        <v>44117.0</v>
      </c>
      <c r="Q592" s="10">
        <v>0.006944444445252884</v>
      </c>
      <c r="R592" s="11" t="str">
        <f t="shared" si="1"/>
        <v>Очистка трафаретного принтера</v>
      </c>
      <c r="S592" s="16" t="str">
        <f>iferror(VLOOKUP(C592,'ФИО'!A:B,2,0),"учётный код не найден")</f>
        <v>Куликов Виктор Алексеевич</v>
      </c>
      <c r="T592" s="13" t="str">
        <f t="shared" si="2"/>
        <v>915-00124.A - Tioga Pass_v1.1 (Гагар.ин)</v>
      </c>
      <c r="U592" s="8">
        <v>0.0</v>
      </c>
      <c r="V592" s="8">
        <v>0.0</v>
      </c>
      <c r="W592" s="17" t="str">
        <f t="shared" si="65"/>
        <v>Данные не заполены</v>
      </c>
      <c r="X592" s="14" t="str">
        <f t="shared" si="31"/>
        <v>Данные не заполены</v>
      </c>
      <c r="Y592" s="15">
        <f t="shared" si="54"/>
        <v>0</v>
      </c>
    </row>
    <row r="593" hidden="1">
      <c r="A593" s="7">
        <v>44115.81425739583</v>
      </c>
      <c r="B593" s="8" t="s">
        <v>87</v>
      </c>
      <c r="C593" s="8">
        <v>20985.0</v>
      </c>
      <c r="D593" s="8" t="s">
        <v>69</v>
      </c>
      <c r="F593" s="8" t="s">
        <v>104</v>
      </c>
      <c r="L593" s="8" t="s">
        <v>31</v>
      </c>
      <c r="M593" s="8" t="s">
        <v>34</v>
      </c>
      <c r="N593" s="8"/>
      <c r="O593" s="8"/>
      <c r="P593" s="9">
        <v>44115.0</v>
      </c>
      <c r="Q593" s="10">
        <v>0.4305555555547471</v>
      </c>
      <c r="R593" s="11" t="str">
        <f t="shared" si="1"/>
        <v>Обучение</v>
      </c>
      <c r="S593" s="16" t="str">
        <f>iferror(VLOOKUP(C593,'ФИО'!A:B,2,0),"учётный код не найден")</f>
        <v>Никонорова Наталия Владимировна</v>
      </c>
      <c r="T593" s="13" t="str">
        <f t="shared" si="2"/>
        <v/>
      </c>
      <c r="W593" s="21" t="str">
        <f t="shared" si="65"/>
        <v>Данные не заполены</v>
      </c>
      <c r="X593" s="15" t="str">
        <f t="shared" si="31"/>
        <v>Данные не заполены</v>
      </c>
      <c r="Y593" s="15">
        <f t="shared" si="54"/>
        <v>0</v>
      </c>
      <c r="Z593" s="8" t="s">
        <v>197</v>
      </c>
    </row>
    <row r="594" hidden="1">
      <c r="A594" s="7">
        <v>44115.81498084491</v>
      </c>
      <c r="B594" s="8" t="s">
        <v>87</v>
      </c>
      <c r="C594" s="8">
        <v>20985.0</v>
      </c>
      <c r="D594" s="8" t="s">
        <v>27</v>
      </c>
      <c r="E594" s="8" t="s">
        <v>67</v>
      </c>
      <c r="G594" s="8">
        <v>3750.0</v>
      </c>
      <c r="H594" s="8" t="s">
        <v>45</v>
      </c>
      <c r="K594" s="8" t="s">
        <v>46</v>
      </c>
      <c r="L594" s="8" t="s">
        <v>37</v>
      </c>
      <c r="P594" s="9">
        <v>44115.0</v>
      </c>
      <c r="Q594" s="10">
        <v>0.027777777781011537</v>
      </c>
      <c r="R594" s="11" t="str">
        <f t="shared" si="1"/>
        <v>Сборка на линии Prim</v>
      </c>
      <c r="S594" s="16" t="str">
        <f>iferror(VLOOKUP(C594,'ФИО'!A:B,2,0),"учётный код не найден")</f>
        <v>Никонорова Наталия Владимировна</v>
      </c>
      <c r="T594" s="13" t="str">
        <f t="shared" si="2"/>
        <v>ПУ 910-00349.A "Печатный узел основного блока E96 4LIN"</v>
      </c>
      <c r="U594" s="8">
        <v>0.0</v>
      </c>
      <c r="V594" s="8">
        <v>0.0</v>
      </c>
      <c r="W594" s="21" t="str">
        <f t="shared" si="65"/>
        <v>Данные не заполены</v>
      </c>
      <c r="X594" s="15" t="str">
        <f t="shared" si="31"/>
        <v>Данные не заполены</v>
      </c>
      <c r="Y594" s="15">
        <f t="shared" si="54"/>
        <v>0</v>
      </c>
    </row>
    <row r="595" hidden="1">
      <c r="A595" s="7">
        <v>44115.829244050925</v>
      </c>
      <c r="B595" s="8" t="s">
        <v>87</v>
      </c>
      <c r="C595" s="8">
        <v>21928.0</v>
      </c>
      <c r="D595" s="8" t="s">
        <v>27</v>
      </c>
      <c r="E595" s="8" t="s">
        <v>97</v>
      </c>
      <c r="G595" s="8">
        <v>3750.0</v>
      </c>
      <c r="H595" s="8" t="s">
        <v>45</v>
      </c>
      <c r="K595" s="8" t="s">
        <v>46</v>
      </c>
      <c r="L595" s="8" t="s">
        <v>37</v>
      </c>
      <c r="P595" s="9">
        <v>44115.0</v>
      </c>
      <c r="Q595" s="10">
        <v>0.45833333333575865</v>
      </c>
      <c r="R595" s="11" t="str">
        <f t="shared" si="1"/>
        <v>Проверка плат на АОИ Prim</v>
      </c>
      <c r="S595" s="16" t="str">
        <f>iferror(VLOOKUP(C595,'ФИО'!A:B,2,0),"учётный код не найден")</f>
        <v>Савченко Виктория Андреевна</v>
      </c>
      <c r="T595" s="13" t="str">
        <f t="shared" si="2"/>
        <v>ПУ 910-00349.A "Печатный узел основного блока E96 4LIN"</v>
      </c>
      <c r="U595" s="8">
        <v>771.0</v>
      </c>
      <c r="V595" s="8">
        <v>129.0</v>
      </c>
      <c r="W595" s="21" t="str">
        <f t="shared" si="65"/>
        <v>Данные не заполены</v>
      </c>
      <c r="X595" s="15" t="str">
        <f t="shared" si="31"/>
        <v>Данные не заполены</v>
      </c>
      <c r="Y595" s="15">
        <f t="shared" si="54"/>
        <v>0.1673151751</v>
      </c>
    </row>
    <row r="596" hidden="1">
      <c r="A596" s="7">
        <v>44115.815232175926</v>
      </c>
      <c r="B596" s="8" t="s">
        <v>87</v>
      </c>
      <c r="C596" s="8">
        <v>21426.0</v>
      </c>
      <c r="D596" s="8" t="s">
        <v>27</v>
      </c>
      <c r="E596" s="8" t="s">
        <v>67</v>
      </c>
      <c r="G596" s="8">
        <v>3750.0</v>
      </c>
      <c r="H596" s="8" t="s">
        <v>45</v>
      </c>
      <c r="K596" s="8" t="s">
        <v>46</v>
      </c>
      <c r="L596" s="8" t="s">
        <v>37</v>
      </c>
      <c r="P596" s="9">
        <v>44115.0</v>
      </c>
      <c r="Q596" s="10">
        <v>0.23611111110949423</v>
      </c>
      <c r="R596" s="11" t="str">
        <f t="shared" si="1"/>
        <v>Сборка на линии Prim</v>
      </c>
      <c r="S596" s="16" t="str">
        <f>iferror(VLOOKUP(C596,'ФИО'!A:B,2,0),"учётный код не найден")</f>
        <v>Скибинский Антон Германович</v>
      </c>
      <c r="T596" s="13" t="str">
        <f t="shared" si="2"/>
        <v>ПУ 910-00349.A "Печатный узел основного блока E96 4LIN"</v>
      </c>
      <c r="U596" s="8">
        <v>0.0</v>
      </c>
      <c r="V596" s="8">
        <v>0.0</v>
      </c>
      <c r="W596" s="21" t="str">
        <f t="shared" si="65"/>
        <v>Данные не заполены</v>
      </c>
      <c r="X596" s="15" t="str">
        <f t="shared" si="31"/>
        <v>Данные не заполены</v>
      </c>
      <c r="Y596" s="15">
        <f t="shared" si="54"/>
        <v>0</v>
      </c>
    </row>
    <row r="597" hidden="1">
      <c r="A597" s="7">
        <v>44115.81583652778</v>
      </c>
      <c r="B597" s="8" t="s">
        <v>87</v>
      </c>
      <c r="C597" s="8">
        <v>21426.0</v>
      </c>
      <c r="D597" s="8" t="s">
        <v>27</v>
      </c>
      <c r="E597" s="8" t="s">
        <v>97</v>
      </c>
      <c r="G597" s="8">
        <v>3750.0</v>
      </c>
      <c r="H597" s="8" t="s">
        <v>45</v>
      </c>
      <c r="K597" s="8" t="s">
        <v>46</v>
      </c>
      <c r="L597" s="8" t="s">
        <v>37</v>
      </c>
      <c r="P597" s="9">
        <v>44115.0</v>
      </c>
      <c r="Q597" s="10">
        <v>0.04166666666424135</v>
      </c>
      <c r="R597" s="11" t="str">
        <f t="shared" si="1"/>
        <v>Проверка плат на АОИ Prim</v>
      </c>
      <c r="S597" s="16" t="str">
        <f>iferror(VLOOKUP(C597,'ФИО'!A:B,2,0),"учётный код не найден")</f>
        <v>Скибинский Антон Германович</v>
      </c>
      <c r="T597" s="13" t="str">
        <f t="shared" si="2"/>
        <v>ПУ 910-00349.A "Печатный узел основного блока E96 4LIN"</v>
      </c>
      <c r="U597" s="8">
        <v>0.0</v>
      </c>
      <c r="V597" s="8">
        <v>0.0</v>
      </c>
      <c r="W597" s="21" t="str">
        <f t="shared" si="65"/>
        <v>Данные не заполены</v>
      </c>
      <c r="X597" s="15" t="str">
        <f t="shared" si="31"/>
        <v>Данные не заполены</v>
      </c>
      <c r="Y597" s="15">
        <f t="shared" si="54"/>
        <v>0</v>
      </c>
    </row>
    <row r="598" hidden="1">
      <c r="A598" s="7">
        <v>44115.81639325232</v>
      </c>
      <c r="B598" s="8" t="s">
        <v>87</v>
      </c>
      <c r="C598" s="8">
        <v>21426.0</v>
      </c>
      <c r="D598" s="8" t="s">
        <v>27</v>
      </c>
      <c r="E598" s="8" t="s">
        <v>62</v>
      </c>
      <c r="G598" s="8">
        <v>3750.0</v>
      </c>
      <c r="H598" s="8" t="s">
        <v>45</v>
      </c>
      <c r="K598" s="8" t="s">
        <v>46</v>
      </c>
      <c r="L598" s="8" t="s">
        <v>31</v>
      </c>
      <c r="M598" s="8" t="s">
        <v>34</v>
      </c>
      <c r="N598" s="8"/>
      <c r="O598" s="8"/>
      <c r="P598" s="9">
        <v>44115.0</v>
      </c>
      <c r="Q598" s="10">
        <v>0.18055555555474712</v>
      </c>
      <c r="R598" s="11" t="str">
        <f t="shared" si="1"/>
        <v>ReviewStation pri</v>
      </c>
      <c r="S598" s="16" t="str">
        <f>iferror(VLOOKUP(C598,'ФИО'!A:B,2,0),"учётный код не найден")</f>
        <v>Скибинский Антон Германович</v>
      </c>
      <c r="T598" s="13" t="str">
        <f t="shared" si="2"/>
        <v>ПУ 910-00349.A "Печатный узел основного блока E96 4LIN"</v>
      </c>
      <c r="U598" s="8">
        <v>0.0</v>
      </c>
      <c r="V598" s="8">
        <v>0.0</v>
      </c>
      <c r="W598" s="21" t="str">
        <f t="shared" si="65"/>
        <v>Данные не заполены</v>
      </c>
      <c r="X598" s="15" t="str">
        <f t="shared" si="31"/>
        <v>Данные не заполены</v>
      </c>
      <c r="Y598" s="15">
        <f t="shared" si="54"/>
        <v>0</v>
      </c>
    </row>
    <row r="599" hidden="1">
      <c r="A599" s="7">
        <v>44115.800619270834</v>
      </c>
      <c r="B599" s="8" t="s">
        <v>87</v>
      </c>
      <c r="C599" s="8">
        <v>22131.0</v>
      </c>
      <c r="D599" s="8" t="s">
        <v>27</v>
      </c>
      <c r="E599" s="8" t="s">
        <v>62</v>
      </c>
      <c r="G599" s="8">
        <v>3750.0</v>
      </c>
      <c r="H599" s="8" t="s">
        <v>45</v>
      </c>
      <c r="K599" s="8" t="s">
        <v>46</v>
      </c>
      <c r="L599" s="8" t="s">
        <v>37</v>
      </c>
      <c r="P599" s="9">
        <v>44115.0</v>
      </c>
      <c r="Q599" s="10">
        <v>0.125</v>
      </c>
      <c r="R599" s="11" t="str">
        <f t="shared" si="1"/>
        <v>ReviewStation pri</v>
      </c>
      <c r="S599" s="16" t="str">
        <f>iferror(VLOOKUP(C599,'ФИО'!A:B,2,0),"учётный код не найден")</f>
        <v>Стосик Степан Владимирович</v>
      </c>
      <c r="T599" s="13" t="str">
        <f t="shared" si="2"/>
        <v>ПУ 910-00349.A "Печатный узел основного блока E96 4LIN"</v>
      </c>
      <c r="U599" s="8">
        <v>0.0</v>
      </c>
      <c r="V599" s="8">
        <v>0.0</v>
      </c>
      <c r="W599" s="21" t="str">
        <f t="shared" si="65"/>
        <v>Данные не заполены</v>
      </c>
      <c r="X599" s="15" t="str">
        <f t="shared" si="31"/>
        <v>Данные не заполены</v>
      </c>
      <c r="Y599" s="15">
        <f t="shared" si="54"/>
        <v>0</v>
      </c>
    </row>
    <row r="600" hidden="1">
      <c r="A600" s="7">
        <v>44115.80158918981</v>
      </c>
      <c r="B600" s="8" t="s">
        <v>87</v>
      </c>
      <c r="C600" s="8">
        <v>22131.0</v>
      </c>
      <c r="D600" s="8" t="s">
        <v>27</v>
      </c>
      <c r="E600" s="8" t="s">
        <v>48</v>
      </c>
      <c r="L600" s="8" t="s">
        <v>31</v>
      </c>
      <c r="M600" s="8" t="s">
        <v>34</v>
      </c>
      <c r="N600" s="8"/>
      <c r="O600" s="8"/>
      <c r="P600" s="9">
        <v>44115.0</v>
      </c>
      <c r="Q600" s="10">
        <v>0.0625</v>
      </c>
      <c r="R600" s="11" t="str">
        <f t="shared" si="1"/>
        <v>Выполнение организационных работ</v>
      </c>
      <c r="S600" s="16" t="str">
        <f>iferror(VLOOKUP(C600,'ФИО'!A:B,2,0),"учётный код не найден")</f>
        <v>Стосик Степан Владимирович</v>
      </c>
      <c r="T600" s="13" t="str">
        <f t="shared" si="2"/>
        <v/>
      </c>
      <c r="W600" s="21" t="str">
        <f t="shared" si="65"/>
        <v>Данные не заполены</v>
      </c>
      <c r="X600" s="15" t="str">
        <f t="shared" si="31"/>
        <v>Данные не заполены</v>
      </c>
      <c r="Y600" s="15">
        <f t="shared" si="54"/>
        <v>0</v>
      </c>
    </row>
    <row r="601" hidden="1">
      <c r="A601" s="7">
        <v>44115.8082005787</v>
      </c>
      <c r="B601" s="8" t="s">
        <v>87</v>
      </c>
      <c r="C601" s="8">
        <v>50000.0</v>
      </c>
      <c r="D601" s="8" t="s">
        <v>27</v>
      </c>
      <c r="E601" s="8" t="s">
        <v>67</v>
      </c>
      <c r="G601" s="8">
        <v>3750.0</v>
      </c>
      <c r="H601" s="8" t="s">
        <v>45</v>
      </c>
      <c r="K601" s="8" t="s">
        <v>46</v>
      </c>
      <c r="L601" s="8" t="s">
        <v>37</v>
      </c>
      <c r="N601" s="8">
        <v>4.0</v>
      </c>
      <c r="O601" s="8">
        <v>61.0</v>
      </c>
      <c r="P601" s="9">
        <v>44114.0</v>
      </c>
      <c r="Q601" s="10">
        <v>0.35416666666424135</v>
      </c>
      <c r="R601" s="11" t="str">
        <f t="shared" si="1"/>
        <v>Сборка на линии Prim</v>
      </c>
      <c r="S601" s="16" t="str">
        <f>iferror(VLOOKUP(C601,'ФИО'!A:B,2,0),"учётный код не найден")</f>
        <v>SMT</v>
      </c>
      <c r="T601" s="13" t="str">
        <f t="shared" si="2"/>
        <v>ПУ 910-00349.A "Печатный узел основного блока E96 4LIN"</v>
      </c>
      <c r="U601" s="8">
        <v>900.0</v>
      </c>
      <c r="V601" s="8">
        <v>0.0</v>
      </c>
      <c r="W601" s="21">
        <f t="shared" si="65"/>
        <v>1763.17377</v>
      </c>
      <c r="X601" s="15">
        <f t="shared" si="31"/>
        <v>0.6605735078</v>
      </c>
      <c r="Y601" s="15">
        <f t="shared" si="54"/>
        <v>0</v>
      </c>
    </row>
    <row r="602" hidden="1">
      <c r="A602" s="7">
        <v>44115.80223980324</v>
      </c>
      <c r="B602" s="8" t="s">
        <v>87</v>
      </c>
      <c r="C602" s="8">
        <v>22131.0</v>
      </c>
      <c r="D602" s="8" t="s">
        <v>27</v>
      </c>
      <c r="E602" s="8" t="s">
        <v>67</v>
      </c>
      <c r="G602" s="8">
        <v>3750.0</v>
      </c>
      <c r="H602" s="8" t="s">
        <v>45</v>
      </c>
      <c r="K602" s="8" t="s">
        <v>46</v>
      </c>
      <c r="L602" s="8" t="s">
        <v>37</v>
      </c>
      <c r="P602" s="9">
        <v>44115.0</v>
      </c>
      <c r="Q602" s="10">
        <v>0.2708333333333333</v>
      </c>
      <c r="R602" s="11" t="str">
        <f t="shared" si="1"/>
        <v>Сборка на линии Prim</v>
      </c>
      <c r="S602" s="16" t="str">
        <f>iferror(VLOOKUP(C602,'ФИО'!A:B,2,0),"учётный код не найден")</f>
        <v>Стосик Степан Владимирович</v>
      </c>
      <c r="T602" s="13" t="str">
        <f t="shared" si="2"/>
        <v>ПУ 910-00349.A "Печатный узел основного блока E96 4LIN"</v>
      </c>
      <c r="U602" s="8">
        <v>0.0</v>
      </c>
      <c r="V602" s="8">
        <v>0.0</v>
      </c>
      <c r="W602" s="21" t="str">
        <f t="shared" si="65"/>
        <v>Данные не заполены</v>
      </c>
      <c r="X602" s="15" t="str">
        <f t="shared" si="31"/>
        <v>Данные не заполены</v>
      </c>
      <c r="Y602" s="15">
        <f t="shared" si="54"/>
        <v>0</v>
      </c>
    </row>
    <row r="603" hidden="1">
      <c r="A603" s="7">
        <v>44105.82423087963</v>
      </c>
      <c r="B603" s="8" t="s">
        <v>26</v>
      </c>
      <c r="C603" s="8">
        <v>21752.0</v>
      </c>
      <c r="D603" s="18" t="s">
        <v>69</v>
      </c>
      <c r="F603" s="8" t="s">
        <v>81</v>
      </c>
      <c r="G603" s="18">
        <v>3047.0</v>
      </c>
      <c r="H603" s="8" t="s">
        <v>29</v>
      </c>
      <c r="I603" s="8" t="s">
        <v>77</v>
      </c>
      <c r="L603" s="18" t="s">
        <v>37</v>
      </c>
      <c r="P603" s="19">
        <v>44105.0</v>
      </c>
      <c r="Q603" s="20">
        <v>0.08333333333575865</v>
      </c>
      <c r="R603" s="13" t="str">
        <f t="shared" si="1"/>
        <v>Проверка на АОИ SEC</v>
      </c>
      <c r="S603" s="16" t="str">
        <f>iferror(VLOOKUP(C603,'ФИО'!A:B,2,0),"учётный код не найден")</f>
        <v>Егоров Александр Александрович</v>
      </c>
      <c r="T603" s="13" t="str">
        <f t="shared" si="2"/>
        <v>915-00081.A-Модуль Трик8 (Кибертех)</v>
      </c>
      <c r="U603" s="8">
        <v>18.0</v>
      </c>
      <c r="V603" s="8">
        <v>6.0</v>
      </c>
      <c r="W603" s="21" t="str">
        <f t="shared" si="65"/>
        <v>Данные не заполены</v>
      </c>
      <c r="X603" s="15" t="str">
        <f t="shared" si="31"/>
        <v>Данные не заполены</v>
      </c>
      <c r="Y603" s="15">
        <f t="shared" si="54"/>
        <v>0.3333333333</v>
      </c>
      <c r="Z603" s="8" t="s">
        <v>188</v>
      </c>
    </row>
    <row r="604" hidden="1">
      <c r="A604" s="7">
        <v>44129.81582606482</v>
      </c>
      <c r="B604" s="8" t="s">
        <v>26</v>
      </c>
      <c r="C604" s="8">
        <v>22087.0</v>
      </c>
      <c r="D604" s="8" t="s">
        <v>69</v>
      </c>
      <c r="F604" s="8" t="s">
        <v>72</v>
      </c>
      <c r="G604" s="8">
        <v>3047.0</v>
      </c>
      <c r="H604" s="8" t="s">
        <v>29</v>
      </c>
      <c r="I604" s="8" t="s">
        <v>77</v>
      </c>
      <c r="L604" s="8" t="s">
        <v>37</v>
      </c>
      <c r="P604" s="9">
        <v>44129.0</v>
      </c>
      <c r="Q604" s="10">
        <v>0.14930555555474712</v>
      </c>
      <c r="R604" s="11" t="str">
        <f t="shared" si="1"/>
        <v>Пайка компонентов PRI</v>
      </c>
      <c r="S604" s="12" t="str">
        <f>iferror(VLOOKUP(C604,'ФИО'!A:B,2,0),"учётный код не найден")</f>
        <v>Хохряков Илья Александрович</v>
      </c>
      <c r="T604" s="13" t="str">
        <f t="shared" si="2"/>
        <v>915-00081.A-Модуль Трик8 (Кибертех)</v>
      </c>
      <c r="U604" s="8">
        <v>0.0</v>
      </c>
      <c r="V604" s="8">
        <v>0.0</v>
      </c>
      <c r="X604" s="14" t="str">
        <f t="shared" si="31"/>
        <v>Данные не заполены</v>
      </c>
      <c r="Y604" s="15">
        <f t="shared" si="54"/>
        <v>0</v>
      </c>
    </row>
    <row r="605" hidden="1">
      <c r="A605" s="7">
        <v>44109.32981527778</v>
      </c>
      <c r="B605" s="8" t="s">
        <v>38</v>
      </c>
      <c r="C605" s="8">
        <v>22087.0</v>
      </c>
      <c r="D605" s="8" t="s">
        <v>27</v>
      </c>
      <c r="E605" s="8" t="s">
        <v>86</v>
      </c>
      <c r="L605" s="8" t="s">
        <v>31</v>
      </c>
      <c r="M605" s="8" t="s">
        <v>34</v>
      </c>
      <c r="N605" s="8"/>
      <c r="O605" s="8"/>
      <c r="P605" s="9">
        <v>44108.0</v>
      </c>
      <c r="Q605" s="10">
        <v>0.04166666666424135</v>
      </c>
      <c r="R605" s="11" t="str">
        <f t="shared" si="1"/>
        <v>Проведение обучения</v>
      </c>
      <c r="S605" s="16" t="str">
        <f>iferror(VLOOKUP(C605,'ФИО'!A:B,2,0),"учётный код не найден")</f>
        <v>Хохряков Илья Александрович</v>
      </c>
      <c r="T605" s="13" t="str">
        <f t="shared" si="2"/>
        <v/>
      </c>
      <c r="W605" s="21" t="str">
        <f t="shared" ref="W605:W608" si="66">IFERROR((((38412/(ifs(O605&lt;35,35,O605&gt;34,O605)/N605)*0.7))),"Данные не заполены")</f>
        <v>Данные не заполены</v>
      </c>
      <c r="X605" s="15" t="str">
        <f t="shared" si="31"/>
        <v>Данные не заполены</v>
      </c>
      <c r="Y605" s="15">
        <f t="shared" si="54"/>
        <v>0</v>
      </c>
      <c r="Z605" s="8" t="s">
        <v>198</v>
      </c>
    </row>
    <row r="606" hidden="1">
      <c r="A606" s="7">
        <v>44121.828760578705</v>
      </c>
      <c r="B606" s="8" t="s">
        <v>26</v>
      </c>
      <c r="C606" s="8">
        <v>21803.0</v>
      </c>
      <c r="D606" s="8" t="s">
        <v>69</v>
      </c>
      <c r="F606" s="8" t="s">
        <v>103</v>
      </c>
      <c r="G606" s="8">
        <v>3234.0</v>
      </c>
      <c r="H606" s="8" t="s">
        <v>29</v>
      </c>
      <c r="I606" s="8" t="s">
        <v>135</v>
      </c>
      <c r="L606" s="8" t="s">
        <v>37</v>
      </c>
      <c r="P606" s="9">
        <v>44121.0</v>
      </c>
      <c r="Q606" s="10">
        <v>0.006944444445252884</v>
      </c>
      <c r="R606" s="11" t="str">
        <f t="shared" si="1"/>
        <v>Проверка на АОИ PRI</v>
      </c>
      <c r="S606" s="16" t="str">
        <f>iferror(VLOOKUP(C606,'ФИО'!A:B,2,0),"учётный код не найден")</f>
        <v>Белоглазова Виктория Сергеевна</v>
      </c>
      <c r="T606" s="13" t="str">
        <f t="shared" si="2"/>
        <v>915-00101.A - ПКД-9В АСЛБ.467249.107 (Квант)</v>
      </c>
      <c r="U606" s="8">
        <v>4.0</v>
      </c>
      <c r="V606" s="8">
        <v>0.0</v>
      </c>
      <c r="W606" s="17" t="str">
        <f t="shared" si="66"/>
        <v>Данные не заполены</v>
      </c>
      <c r="X606" s="14" t="str">
        <f t="shared" si="31"/>
        <v>Данные не заполены</v>
      </c>
      <c r="Y606" s="15">
        <f t="shared" si="54"/>
        <v>0</v>
      </c>
    </row>
    <row r="607" hidden="1">
      <c r="A607" s="7">
        <v>44128.3224509375</v>
      </c>
      <c r="B607" s="8" t="s">
        <v>126</v>
      </c>
      <c r="C607" s="8">
        <v>22574.0</v>
      </c>
      <c r="D607" s="8" t="s">
        <v>27</v>
      </c>
      <c r="E607" s="8" t="s">
        <v>101</v>
      </c>
      <c r="G607" s="8">
        <v>3804.0</v>
      </c>
      <c r="H607" s="8" t="s">
        <v>45</v>
      </c>
      <c r="K607" s="8" t="s">
        <v>52</v>
      </c>
      <c r="L607" s="8" t="s">
        <v>31</v>
      </c>
      <c r="M607" s="8" t="s">
        <v>34</v>
      </c>
      <c r="P607" s="9">
        <v>44127.0</v>
      </c>
      <c r="Q607" s="10">
        <v>0.020833333335758653</v>
      </c>
      <c r="R607" s="11" t="str">
        <f t="shared" si="1"/>
        <v>Настройка принтера Prim</v>
      </c>
      <c r="S607" s="16" t="str">
        <f>iferror(VLOOKUP(C607,'ФИО'!A:B,2,0),"учётный код не найден")</f>
        <v>Шапенков Геннадий Михайлович</v>
      </c>
      <c r="T607" s="13" t="str">
        <f t="shared" si="2"/>
        <v>М17V2 (900-00018.D)_910-00023.H и ПУ 910-00012.I</v>
      </c>
      <c r="U607" s="8">
        <v>0.0</v>
      </c>
      <c r="V607" s="8">
        <v>0.0</v>
      </c>
      <c r="W607" s="17" t="str">
        <f t="shared" si="66"/>
        <v>Данные не заполены</v>
      </c>
      <c r="X607" s="14" t="str">
        <f t="shared" si="31"/>
        <v>Данные не заполены</v>
      </c>
      <c r="Y607" s="15">
        <f t="shared" si="54"/>
        <v>0</v>
      </c>
    </row>
    <row r="608" hidden="1">
      <c r="A608" s="7">
        <v>44109.82389262732</v>
      </c>
      <c r="B608" s="8" t="s">
        <v>127</v>
      </c>
      <c r="C608" s="8">
        <v>21927.0</v>
      </c>
      <c r="D608" s="8" t="s">
        <v>27</v>
      </c>
      <c r="E608" s="8" t="s">
        <v>68</v>
      </c>
      <c r="L608" s="8" t="s">
        <v>31</v>
      </c>
      <c r="M608" s="8" t="s">
        <v>34</v>
      </c>
      <c r="N608" s="8"/>
      <c r="O608" s="8"/>
      <c r="P608" s="9">
        <v>44109.0</v>
      </c>
      <c r="Q608" s="10">
        <v>0.0625</v>
      </c>
      <c r="R608" s="11" t="str">
        <f t="shared" si="1"/>
        <v>Прохождение обучения</v>
      </c>
      <c r="S608" s="16" t="str">
        <f>iferror(VLOOKUP(C608,'ФИО'!A:B,2,0),"учётный код не найден")</f>
        <v>Шергин Родион Олегович</v>
      </c>
      <c r="T608" s="11" t="str">
        <f t="shared" si="2"/>
        <v/>
      </c>
      <c r="W608" s="21" t="str">
        <f t="shared" si="66"/>
        <v>Данные не заполены</v>
      </c>
      <c r="X608" s="15" t="str">
        <f t="shared" si="31"/>
        <v>Данные не заполены</v>
      </c>
      <c r="Y608" s="15">
        <f t="shared" si="54"/>
        <v>0</v>
      </c>
    </row>
    <row r="609" hidden="1">
      <c r="A609" s="7">
        <v>44124.29242777778</v>
      </c>
      <c r="B609" s="8" t="s">
        <v>38</v>
      </c>
      <c r="C609" s="8">
        <v>21803.0</v>
      </c>
      <c r="D609" s="8" t="s">
        <v>69</v>
      </c>
      <c r="F609" s="8" t="s">
        <v>103</v>
      </c>
      <c r="G609" s="8">
        <v>3750.0</v>
      </c>
      <c r="H609" s="8" t="s">
        <v>45</v>
      </c>
      <c r="K609" s="8" t="s">
        <v>46</v>
      </c>
      <c r="L609" s="8" t="s">
        <v>31</v>
      </c>
      <c r="M609" s="8" t="s">
        <v>34</v>
      </c>
      <c r="P609" s="9">
        <v>44123.0</v>
      </c>
      <c r="Q609" s="10">
        <v>0.125</v>
      </c>
      <c r="R609" s="11" t="str">
        <f t="shared" si="1"/>
        <v>Проверка на АОИ PRI</v>
      </c>
      <c r="S609" s="16" t="str">
        <f>iferror(VLOOKUP(C609,'ФИО'!A:B,2,0),"учётный код не найден")</f>
        <v>Белоглазова Виктория Сергеевна</v>
      </c>
      <c r="T609" s="13" t="str">
        <f t="shared" si="2"/>
        <v>ПУ 910-00349.A "Печатный узел основного блока E96 4LIN"</v>
      </c>
      <c r="U609" s="8">
        <v>0.0</v>
      </c>
      <c r="V609" s="8">
        <v>0.0</v>
      </c>
      <c r="X609" s="14" t="str">
        <f t="shared" si="31"/>
        <v>Данные не заполены</v>
      </c>
      <c r="Y609" s="15">
        <f t="shared" si="54"/>
        <v>0</v>
      </c>
      <c r="Z609" s="8" t="s">
        <v>175</v>
      </c>
    </row>
    <row r="610" hidden="1">
      <c r="A610" s="7">
        <v>44116.32529487269</v>
      </c>
      <c r="B610" s="8" t="s">
        <v>38</v>
      </c>
      <c r="C610" s="8">
        <v>21803.0</v>
      </c>
      <c r="D610" s="8" t="s">
        <v>69</v>
      </c>
      <c r="F610" s="8" t="s">
        <v>103</v>
      </c>
      <c r="G610" s="8">
        <v>3750.0</v>
      </c>
      <c r="H610" s="8" t="s">
        <v>9</v>
      </c>
      <c r="J610" s="8" t="s">
        <v>46</v>
      </c>
      <c r="L610" s="8" t="s">
        <v>37</v>
      </c>
      <c r="P610" s="9">
        <v>44115.0</v>
      </c>
      <c r="Q610" s="10">
        <v>0.39583333333575865</v>
      </c>
      <c r="R610" s="11" t="str">
        <f t="shared" si="1"/>
        <v>Проверка на АОИ PRI</v>
      </c>
      <c r="S610" s="16" t="str">
        <f>iferror(VLOOKUP(C610,'ФИО'!A:B,2,0),"учётный код не найден")</f>
        <v>Белоглазова Виктория Сергеевна</v>
      </c>
      <c r="T610" s="13" t="str">
        <f t="shared" si="2"/>
        <v>ПУ 910-00349.A "Печатный узел основного блока E96 4LIN"</v>
      </c>
      <c r="U610" s="8">
        <v>876.0</v>
      </c>
      <c r="V610" s="8">
        <v>4.0</v>
      </c>
      <c r="W610" s="21" t="str">
        <f t="shared" ref="W610:W620" si="67">IFERROR((((38412/(ifs(O610&lt;35,35,O610&gt;34,O610)/N610)*0.7))),"Данные не заполены")</f>
        <v>Данные не заполены</v>
      </c>
      <c r="X610" s="15" t="str">
        <f t="shared" si="31"/>
        <v>Данные не заполены</v>
      </c>
      <c r="Y610" s="15">
        <f t="shared" si="54"/>
        <v>0.004566210046</v>
      </c>
      <c r="Z610" s="8" t="s">
        <v>199</v>
      </c>
    </row>
    <row r="611" hidden="1">
      <c r="A611" s="7">
        <v>44121.828195486116</v>
      </c>
      <c r="B611" s="8" t="s">
        <v>38</v>
      </c>
      <c r="C611" s="8">
        <v>21803.0</v>
      </c>
      <c r="D611" s="8" t="s">
        <v>69</v>
      </c>
      <c r="F611" s="8" t="s">
        <v>103</v>
      </c>
      <c r="G611" s="8">
        <v>3750.0</v>
      </c>
      <c r="H611" s="8" t="s">
        <v>45</v>
      </c>
      <c r="K611" s="8" t="s">
        <v>46</v>
      </c>
      <c r="L611" s="8" t="s">
        <v>31</v>
      </c>
      <c r="M611" s="8" t="s">
        <v>34</v>
      </c>
      <c r="P611" s="9">
        <v>44121.0</v>
      </c>
      <c r="Q611" s="10">
        <v>0.16666666666424135</v>
      </c>
      <c r="R611" s="11" t="str">
        <f t="shared" si="1"/>
        <v>Проверка на АОИ PRI</v>
      </c>
      <c r="S611" s="16" t="str">
        <f>iferror(VLOOKUP(C611,'ФИО'!A:B,2,0),"учётный код не найден")</f>
        <v>Белоглазова Виктория Сергеевна</v>
      </c>
      <c r="T611" s="13" t="str">
        <f t="shared" si="2"/>
        <v>ПУ 910-00349.A "Печатный узел основного блока E96 4LIN"</v>
      </c>
      <c r="U611" s="8">
        <v>500.0</v>
      </c>
      <c r="V611" s="8">
        <v>20.0</v>
      </c>
      <c r="W611" s="17" t="str">
        <f t="shared" si="67"/>
        <v>Данные не заполены</v>
      </c>
      <c r="X611" s="14" t="str">
        <f t="shared" si="31"/>
        <v>Данные не заполены</v>
      </c>
      <c r="Y611" s="15">
        <f t="shared" si="54"/>
        <v>0.04</v>
      </c>
      <c r="Z611" s="8" t="s">
        <v>175</v>
      </c>
    </row>
    <row r="612" hidden="1">
      <c r="A612" s="7">
        <v>44105.82597509259</v>
      </c>
      <c r="B612" s="8" t="s">
        <v>26</v>
      </c>
      <c r="C612" s="8">
        <v>21803.0</v>
      </c>
      <c r="D612" s="18" t="s">
        <v>27</v>
      </c>
      <c r="E612" s="8" t="s">
        <v>66</v>
      </c>
      <c r="G612" s="18">
        <v>3233.0</v>
      </c>
      <c r="H612" s="8" t="s">
        <v>29</v>
      </c>
      <c r="I612" s="8" t="s">
        <v>60</v>
      </c>
      <c r="L612" s="18" t="s">
        <v>31</v>
      </c>
      <c r="M612" s="8" t="s">
        <v>34</v>
      </c>
      <c r="N612" s="8"/>
      <c r="O612" s="8"/>
      <c r="P612" s="19">
        <v>44105.0</v>
      </c>
      <c r="Q612" s="20">
        <v>0.04166666666424135</v>
      </c>
      <c r="R612" s="13" t="str">
        <f t="shared" si="1"/>
        <v>Проверка первой платы до оплавления</v>
      </c>
      <c r="S612" s="16" t="str">
        <f>iferror(VLOOKUP(C612,'ФИО'!A:B,2,0),"учётный код не найден")</f>
        <v>Белоглазова Виктория Сергеевна</v>
      </c>
      <c r="T612" s="13" t="str">
        <f t="shared" si="2"/>
        <v>915-00102.A - ПБОК-2В АСЛБ.465285.013 (Квант)</v>
      </c>
      <c r="U612" s="8">
        <v>0.0</v>
      </c>
      <c r="V612" s="8">
        <v>0.0</v>
      </c>
      <c r="W612" s="21" t="str">
        <f t="shared" si="67"/>
        <v>Данные не заполены</v>
      </c>
      <c r="X612" s="15" t="str">
        <f t="shared" si="31"/>
        <v>Данные не заполены</v>
      </c>
      <c r="Y612" s="15">
        <f t="shared" si="54"/>
        <v>0</v>
      </c>
    </row>
    <row r="613">
      <c r="A613" s="7">
        <v>44116.33038238426</v>
      </c>
      <c r="B613" s="8" t="s">
        <v>38</v>
      </c>
      <c r="C613" s="8">
        <v>20751.0</v>
      </c>
      <c r="D613" s="8" t="s">
        <v>69</v>
      </c>
      <c r="F613" s="8" t="s">
        <v>72</v>
      </c>
      <c r="G613" s="8">
        <v>3750.0</v>
      </c>
      <c r="H613" s="8" t="s">
        <v>45</v>
      </c>
      <c r="K613" s="8" t="s">
        <v>46</v>
      </c>
      <c r="L613" s="8" t="s">
        <v>31</v>
      </c>
      <c r="M613" s="8" t="s">
        <v>34</v>
      </c>
      <c r="N613" s="8"/>
      <c r="O613" s="8"/>
      <c r="P613" s="9">
        <v>44115.0</v>
      </c>
      <c r="Q613" s="10">
        <v>0.29166666666424135</v>
      </c>
      <c r="R613" s="11" t="str">
        <f t="shared" si="1"/>
        <v>Пайка компонентов PRI</v>
      </c>
      <c r="S613" s="16" t="str">
        <f>iferror(VLOOKUP(C613,'ФИО'!A:B,2,0),"учётный код не найден")</f>
        <v>Кезерев Виталий Романович</v>
      </c>
      <c r="T613" s="13" t="str">
        <f t="shared" si="2"/>
        <v>ПУ 910-00349.A "Печатный узел основного блока E96 4LIN"</v>
      </c>
      <c r="U613" s="8">
        <v>0.0</v>
      </c>
      <c r="V613" s="8">
        <v>0.0</v>
      </c>
      <c r="W613" s="21" t="str">
        <f t="shared" si="67"/>
        <v>Данные не заполены</v>
      </c>
      <c r="X613" s="15" t="str">
        <f t="shared" si="31"/>
        <v>Данные не заполены</v>
      </c>
      <c r="Y613" s="15">
        <f t="shared" si="54"/>
        <v>0</v>
      </c>
    </row>
    <row r="614">
      <c r="A614" s="7">
        <v>44116.327310740744</v>
      </c>
      <c r="B614" s="8" t="s">
        <v>38</v>
      </c>
      <c r="C614" s="8">
        <v>20751.0</v>
      </c>
      <c r="D614" s="8" t="s">
        <v>69</v>
      </c>
      <c r="F614" s="8" t="s">
        <v>72</v>
      </c>
      <c r="G614" s="8">
        <v>3750.0</v>
      </c>
      <c r="H614" s="8" t="s">
        <v>45</v>
      </c>
      <c r="K614" s="8" t="s">
        <v>46</v>
      </c>
      <c r="L614" s="8" t="s">
        <v>31</v>
      </c>
      <c r="M614" s="8" t="s">
        <v>34</v>
      </c>
      <c r="N614" s="8"/>
      <c r="O614" s="8"/>
      <c r="P614" s="9">
        <v>44115.0</v>
      </c>
      <c r="Q614" s="10">
        <v>0.29166666666424135</v>
      </c>
      <c r="R614" s="11" t="str">
        <f t="shared" si="1"/>
        <v>Пайка компонентов PRI</v>
      </c>
      <c r="S614" s="16" t="str">
        <f>iferror(VLOOKUP(C614,'ФИО'!A:B,2,0),"учётный код не найден")</f>
        <v>Кезерев Виталий Романович</v>
      </c>
      <c r="T614" s="13" t="str">
        <f t="shared" si="2"/>
        <v>ПУ 910-00349.A "Печатный узел основного блока E96 4LIN"</v>
      </c>
      <c r="U614" s="8">
        <v>880.0</v>
      </c>
      <c r="V614" s="8">
        <v>0.0</v>
      </c>
      <c r="W614" s="21" t="str">
        <f t="shared" si="67"/>
        <v>Данные не заполены</v>
      </c>
      <c r="X614" s="15" t="str">
        <f t="shared" si="31"/>
        <v>Данные не заполены</v>
      </c>
      <c r="Y614" s="15">
        <f t="shared" si="54"/>
        <v>0</v>
      </c>
      <c r="Z614" s="8" t="s">
        <v>200</v>
      </c>
    </row>
    <row r="615" hidden="1">
      <c r="A615" s="7">
        <v>44131.76059160879</v>
      </c>
      <c r="B615" s="8" t="s">
        <v>87</v>
      </c>
      <c r="C615" s="8">
        <v>20015.0</v>
      </c>
      <c r="D615" s="8" t="s">
        <v>69</v>
      </c>
      <c r="F615" s="8" t="s">
        <v>161</v>
      </c>
      <c r="G615" s="8">
        <v>3237.0</v>
      </c>
      <c r="H615" s="8" t="s">
        <v>29</v>
      </c>
      <c r="I615" s="8" t="s">
        <v>56</v>
      </c>
      <c r="L615" s="8" t="s">
        <v>31</v>
      </c>
      <c r="M615" s="8" t="s">
        <v>34</v>
      </c>
      <c r="P615" s="9">
        <v>44131.0</v>
      </c>
      <c r="Q615" s="10">
        <v>0.04166666666424135</v>
      </c>
      <c r="R615" s="11" t="str">
        <f t="shared" si="1"/>
        <v>Написание программы для SEHO PRI</v>
      </c>
      <c r="S615" s="12" t="str">
        <f>iferror(VLOOKUP(C615,'ФИО'!A:B,2,0),"учётный код не найден")</f>
        <v>Ельцов Андрей Николаевич</v>
      </c>
      <c r="T615" s="13" t="str">
        <f t="shared" si="2"/>
        <v>915-00098.А - ПКБУИК-38 АСЛБ.465122.020 (Квант)</v>
      </c>
      <c r="U615" s="8">
        <v>0.0</v>
      </c>
      <c r="V615" s="8">
        <v>0.0</v>
      </c>
      <c r="W615" s="17" t="str">
        <f t="shared" si="67"/>
        <v>Данные не заполены</v>
      </c>
      <c r="X615" s="14" t="str">
        <f t="shared" si="31"/>
        <v>Данные не заполены</v>
      </c>
      <c r="Y615" s="15">
        <f t="shared" si="54"/>
        <v>0</v>
      </c>
    </row>
    <row r="616" hidden="1">
      <c r="A616" s="7">
        <v>44129.31779747685</v>
      </c>
      <c r="B616" s="8" t="s">
        <v>126</v>
      </c>
      <c r="C616" s="8">
        <v>21852.0</v>
      </c>
      <c r="D616" s="8" t="s">
        <v>27</v>
      </c>
      <c r="E616" s="8" t="s">
        <v>84</v>
      </c>
      <c r="G616" s="8">
        <v>3804.0</v>
      </c>
      <c r="H616" s="8" t="s">
        <v>45</v>
      </c>
      <c r="K616" s="8" t="s">
        <v>52</v>
      </c>
      <c r="L616" s="8" t="s">
        <v>31</v>
      </c>
      <c r="M616" s="8" t="s">
        <v>34</v>
      </c>
      <c r="P616" s="9">
        <v>44128.0</v>
      </c>
      <c r="Q616" s="10">
        <v>0.013888888890505768</v>
      </c>
      <c r="R616" s="11" t="str">
        <f t="shared" si="1"/>
        <v>Настройка принтера Sec</v>
      </c>
      <c r="S616" s="12" t="str">
        <f>iferror(VLOOKUP(C616,'ФИО'!A:B,2,0),"учётный код не найден")</f>
        <v>Пономарев Юрий Андреевич</v>
      </c>
      <c r="T616" s="13" t="str">
        <f t="shared" si="2"/>
        <v>М17V2 (900-00018.D)_910-00023.H и ПУ 910-00012.I</v>
      </c>
      <c r="U616" s="8">
        <v>0.0</v>
      </c>
      <c r="V616" s="8">
        <v>0.0</v>
      </c>
      <c r="W616" s="17" t="str">
        <f t="shared" si="67"/>
        <v>Данные не заполены</v>
      </c>
      <c r="X616" s="14" t="str">
        <f t="shared" si="31"/>
        <v>Данные не заполены</v>
      </c>
      <c r="Y616" s="15">
        <f t="shared" si="54"/>
        <v>0</v>
      </c>
    </row>
    <row r="617" hidden="1">
      <c r="A617" s="7">
        <v>44125.82974701389</v>
      </c>
      <c r="B617" s="8" t="s">
        <v>127</v>
      </c>
      <c r="C617" s="8">
        <v>21927.0</v>
      </c>
      <c r="D617" s="8" t="s">
        <v>27</v>
      </c>
      <c r="E617" s="8" t="s">
        <v>68</v>
      </c>
      <c r="L617" s="8" t="s">
        <v>31</v>
      </c>
      <c r="M617" s="8" t="s">
        <v>34</v>
      </c>
      <c r="P617" s="9">
        <v>44125.0</v>
      </c>
      <c r="Q617" s="10">
        <v>0.04166666666424135</v>
      </c>
      <c r="R617" s="11" t="str">
        <f t="shared" si="1"/>
        <v>Прохождение обучения</v>
      </c>
      <c r="S617" s="16" t="str">
        <f>iferror(VLOOKUP(C617,'ФИО'!A:B,2,0),"учётный код не найден")</f>
        <v>Шергин Родион Олегович</v>
      </c>
      <c r="T617" s="11" t="str">
        <f t="shared" si="2"/>
        <v/>
      </c>
      <c r="W617" s="17" t="str">
        <f t="shared" si="67"/>
        <v>Данные не заполены</v>
      </c>
      <c r="X617" s="14" t="str">
        <f t="shared" si="31"/>
        <v>Данные не заполены</v>
      </c>
      <c r="Y617" s="15">
        <f t="shared" si="54"/>
        <v>0</v>
      </c>
    </row>
    <row r="618" hidden="1">
      <c r="A618" s="7">
        <v>44132.81900469908</v>
      </c>
      <c r="B618" s="8" t="s">
        <v>127</v>
      </c>
      <c r="C618" s="8">
        <v>21927.0</v>
      </c>
      <c r="D618" s="8" t="s">
        <v>27</v>
      </c>
      <c r="E618" s="8" t="s">
        <v>68</v>
      </c>
      <c r="L618" s="8" t="s">
        <v>31</v>
      </c>
      <c r="M618" s="8" t="s">
        <v>34</v>
      </c>
      <c r="P618" s="9">
        <v>44132.0</v>
      </c>
      <c r="Q618" s="10">
        <v>0.0625</v>
      </c>
      <c r="R618" s="11" t="str">
        <f t="shared" si="1"/>
        <v>Прохождение обучения</v>
      </c>
      <c r="S618" s="16" t="str">
        <f>iferror(VLOOKUP(C618,'ФИО'!A:B,2,0),"учётный код не найден")</f>
        <v>Шергин Родион Олегович</v>
      </c>
      <c r="T618" s="11" t="str">
        <f t="shared" si="2"/>
        <v/>
      </c>
      <c r="W618" s="17" t="str">
        <f t="shared" si="67"/>
        <v>Данные не заполены</v>
      </c>
      <c r="X618" s="14" t="str">
        <f t="shared" si="31"/>
        <v>Данные не заполены</v>
      </c>
      <c r="Y618" s="15">
        <f t="shared" si="54"/>
        <v>0</v>
      </c>
    </row>
    <row r="619" hidden="1">
      <c r="A619" s="7">
        <v>44132.820185752316</v>
      </c>
      <c r="B619" s="8" t="s">
        <v>127</v>
      </c>
      <c r="C619" s="8">
        <v>21927.0</v>
      </c>
      <c r="D619" s="8" t="s">
        <v>27</v>
      </c>
      <c r="E619" s="8" t="s">
        <v>201</v>
      </c>
      <c r="G619" s="8">
        <v>3621.0</v>
      </c>
      <c r="H619" s="8" t="s">
        <v>29</v>
      </c>
      <c r="I619" s="8" t="s">
        <v>54</v>
      </c>
      <c r="L619" s="8" t="s">
        <v>31</v>
      </c>
      <c r="M619" s="8" t="s">
        <v>202</v>
      </c>
      <c r="P619" s="9">
        <v>44132.0</v>
      </c>
      <c r="Q619" s="10">
        <v>0.04166666666424135</v>
      </c>
      <c r="R619" s="11" t="str">
        <f t="shared" si="1"/>
        <v>Разрядка питателей Prim</v>
      </c>
      <c r="S619" s="16" t="str">
        <f>iferror(VLOOKUP(C619,'ФИО'!A:B,2,0),"учётный код не найден")</f>
        <v>Шергин Родион Олегович</v>
      </c>
      <c r="T619" s="11" t="str">
        <f t="shared" si="2"/>
        <v>915-00121.A - Процессорный модуль РСЕН.469555.027 (КНС Групп)</v>
      </c>
      <c r="U619" s="8">
        <v>60.0</v>
      </c>
      <c r="V619" s="8">
        <v>0.0</v>
      </c>
      <c r="W619" s="17" t="str">
        <f t="shared" si="67"/>
        <v>Данные не заполены</v>
      </c>
      <c r="X619" s="14" t="str">
        <f t="shared" si="31"/>
        <v>Данные не заполены</v>
      </c>
      <c r="Y619" s="15">
        <f t="shared" si="54"/>
        <v>0</v>
      </c>
    </row>
    <row r="620" hidden="1">
      <c r="A620" s="7">
        <v>44120.83327805555</v>
      </c>
      <c r="B620" s="8" t="s">
        <v>26</v>
      </c>
      <c r="C620" s="8">
        <v>20751.0</v>
      </c>
      <c r="D620" s="8" t="s">
        <v>69</v>
      </c>
      <c r="F620" s="8" t="s">
        <v>72</v>
      </c>
      <c r="G620" s="8">
        <v>3579.0</v>
      </c>
      <c r="H620" s="8" t="s">
        <v>29</v>
      </c>
      <c r="I620" s="8" t="s">
        <v>42</v>
      </c>
      <c r="L620" s="8" t="s">
        <v>37</v>
      </c>
      <c r="P620" s="9">
        <v>44120.0</v>
      </c>
      <c r="Q620" s="10">
        <v>0.020833333335758653</v>
      </c>
      <c r="R620" s="11" t="str">
        <f t="shared" si="1"/>
        <v>Пайка компонентов PRI</v>
      </c>
      <c r="S620" s="16" t="str">
        <f>iferror(VLOOKUP(C620,'ФИО'!A:B,2,0),"учётный код не найден")</f>
        <v>Кезерев Виталий Романович</v>
      </c>
      <c r="T620" s="13" t="str">
        <f t="shared" si="2"/>
        <v>915-00070.A - Модуль телематики ТМ1 v3 (Сознательные машины)</v>
      </c>
      <c r="U620" s="8">
        <v>0.0</v>
      </c>
      <c r="V620" s="8">
        <v>0.0</v>
      </c>
      <c r="W620" s="17" t="str">
        <f t="shared" si="67"/>
        <v>Данные не заполены</v>
      </c>
      <c r="X620" s="14" t="str">
        <f t="shared" si="31"/>
        <v>Данные не заполены</v>
      </c>
      <c r="Y620" s="15">
        <f t="shared" si="54"/>
        <v>0</v>
      </c>
    </row>
    <row r="621" hidden="1">
      <c r="A621" s="7">
        <v>44124.314976863425</v>
      </c>
      <c r="B621" s="8" t="s">
        <v>38</v>
      </c>
      <c r="C621" s="8">
        <v>20751.0</v>
      </c>
      <c r="D621" s="8" t="s">
        <v>69</v>
      </c>
      <c r="F621" s="8" t="s">
        <v>72</v>
      </c>
      <c r="G621" s="8">
        <v>3047.0</v>
      </c>
      <c r="H621" s="8" t="s">
        <v>29</v>
      </c>
      <c r="I621" s="8" t="s">
        <v>77</v>
      </c>
      <c r="L621" s="8" t="s">
        <v>37</v>
      </c>
      <c r="P621" s="9">
        <v>44123.0</v>
      </c>
      <c r="Q621" s="10">
        <v>0.20833333333575865</v>
      </c>
      <c r="R621" s="11" t="str">
        <f t="shared" si="1"/>
        <v>Пайка компонентов PRI</v>
      </c>
      <c r="S621" s="16" t="str">
        <f>iferror(VLOOKUP(C621,'ФИО'!A:B,2,0),"учётный код не найден")</f>
        <v>Кезерев Виталий Романович</v>
      </c>
      <c r="T621" s="13" t="str">
        <f t="shared" si="2"/>
        <v>915-00081.A-Модуль Трик8 (Кибертех)</v>
      </c>
      <c r="U621" s="8">
        <v>0.0</v>
      </c>
      <c r="V621" s="8">
        <v>0.0</v>
      </c>
      <c r="X621" s="14" t="str">
        <f t="shared" si="31"/>
        <v>Данные не заполены</v>
      </c>
      <c r="Y621" s="15">
        <f t="shared" si="54"/>
        <v>0</v>
      </c>
    </row>
    <row r="622">
      <c r="A622" s="7">
        <v>44124.314027280096</v>
      </c>
      <c r="B622" s="8" t="s">
        <v>38</v>
      </c>
      <c r="C622" s="8">
        <v>20751.0</v>
      </c>
      <c r="D622" s="8" t="s">
        <v>69</v>
      </c>
      <c r="F622" s="8" t="s">
        <v>72</v>
      </c>
      <c r="G622" s="8">
        <v>3750.0</v>
      </c>
      <c r="H622" s="8" t="s">
        <v>45</v>
      </c>
      <c r="K622" s="8" t="s">
        <v>46</v>
      </c>
      <c r="L622" s="8" t="s">
        <v>37</v>
      </c>
      <c r="P622" s="9">
        <v>44123.0</v>
      </c>
      <c r="Q622" s="10">
        <v>0.0625</v>
      </c>
      <c r="R622" s="11" t="str">
        <f t="shared" si="1"/>
        <v>Пайка компонентов PRI</v>
      </c>
      <c r="S622" s="16" t="str">
        <f>iferror(VLOOKUP(C622,'ФИО'!A:B,2,0),"учётный код не найден")</f>
        <v>Кезерев Виталий Романович</v>
      </c>
      <c r="T622" s="13" t="str">
        <f t="shared" si="2"/>
        <v>ПУ 910-00349.A "Печатный узел основного блока E96 4LIN"</v>
      </c>
      <c r="U622" s="8">
        <v>0.0</v>
      </c>
      <c r="V622" s="8">
        <v>0.0</v>
      </c>
      <c r="X622" s="14" t="str">
        <f t="shared" si="31"/>
        <v>Данные не заполены</v>
      </c>
      <c r="Y622" s="15">
        <f t="shared" si="54"/>
        <v>0</v>
      </c>
    </row>
    <row r="623" hidden="1">
      <c r="A623" s="7">
        <v>44120.83238767361</v>
      </c>
      <c r="B623" s="8" t="s">
        <v>26</v>
      </c>
      <c r="C623" s="8">
        <v>20751.0</v>
      </c>
      <c r="D623" s="8" t="s">
        <v>69</v>
      </c>
      <c r="F623" s="8" t="s">
        <v>80</v>
      </c>
      <c r="G623" s="8">
        <v>2796.0</v>
      </c>
      <c r="H623" s="8" t="s">
        <v>29</v>
      </c>
      <c r="I623" s="8" t="s">
        <v>183</v>
      </c>
      <c r="L623" s="8" t="s">
        <v>37</v>
      </c>
      <c r="P623" s="9">
        <v>44120.0</v>
      </c>
      <c r="Q623" s="10">
        <v>0.027777777781011537</v>
      </c>
      <c r="R623" s="11" t="str">
        <f t="shared" si="1"/>
        <v>Пайка компонентов SEC</v>
      </c>
      <c r="S623" s="16" t="str">
        <f>iferror(VLOOKUP(C623,'ФИО'!A:B,2,0),"учётный код не найден")</f>
        <v>Кезерев Виталий Романович</v>
      </c>
      <c r="T623" s="13" t="str">
        <f t="shared" si="2"/>
        <v>IKZ_35_v1_1-ANALOG (Антракс)</v>
      </c>
      <c r="U623" s="8">
        <v>0.0</v>
      </c>
      <c r="V623" s="8">
        <v>0.0</v>
      </c>
      <c r="W623" s="17" t="str">
        <f>IFERROR((((38412/(ifs(O623&lt;35,35,O623&gt;34,O623)/N623)*0.7))),"Данные не заполены")</f>
        <v>Данные не заполены</v>
      </c>
      <c r="X623" s="14" t="str">
        <f t="shared" si="31"/>
        <v>Данные не заполены</v>
      </c>
      <c r="Y623" s="15">
        <f t="shared" si="54"/>
        <v>0</v>
      </c>
    </row>
    <row r="624" hidden="1">
      <c r="A624" s="7">
        <v>44132.32497269676</v>
      </c>
      <c r="B624" s="8" t="s">
        <v>38</v>
      </c>
      <c r="C624" s="8">
        <v>22087.0</v>
      </c>
      <c r="D624" s="8" t="s">
        <v>27</v>
      </c>
      <c r="E624" s="8" t="s">
        <v>86</v>
      </c>
      <c r="L624" s="8" t="s">
        <v>31</v>
      </c>
      <c r="M624" s="8" t="s">
        <v>34</v>
      </c>
      <c r="P624" s="9">
        <v>44131.0</v>
      </c>
      <c r="Q624" s="10">
        <v>0.010416666664241347</v>
      </c>
      <c r="R624" s="11" t="str">
        <f t="shared" si="1"/>
        <v>Проведение обучения</v>
      </c>
      <c r="S624" s="12" t="str">
        <f>iferror(VLOOKUP(C624,'ФИО'!A:B,2,0),"учётный код не найден")</f>
        <v>Хохряков Илья Александрович</v>
      </c>
      <c r="T624" s="13" t="str">
        <f t="shared" si="2"/>
        <v/>
      </c>
      <c r="X624" s="14" t="str">
        <f t="shared" si="31"/>
        <v>Данные не заполены</v>
      </c>
      <c r="Y624" s="15">
        <f t="shared" si="54"/>
        <v>0</v>
      </c>
    </row>
    <row r="625" hidden="1">
      <c r="A625" s="7">
        <v>44124.32344069444</v>
      </c>
      <c r="B625" s="8" t="s">
        <v>38</v>
      </c>
      <c r="C625" s="8">
        <v>22087.0</v>
      </c>
      <c r="D625" s="8" t="s">
        <v>27</v>
      </c>
      <c r="E625" s="8" t="s">
        <v>65</v>
      </c>
      <c r="G625" s="8">
        <v>3804.0</v>
      </c>
      <c r="H625" s="8" t="s">
        <v>45</v>
      </c>
      <c r="K625" s="8" t="s">
        <v>52</v>
      </c>
      <c r="L625" s="8" t="s">
        <v>31</v>
      </c>
      <c r="M625" s="8" t="s">
        <v>34</v>
      </c>
      <c r="P625" s="9">
        <v>44123.0</v>
      </c>
      <c r="Q625" s="10">
        <v>0.1875</v>
      </c>
      <c r="R625" s="11" t="str">
        <f t="shared" si="1"/>
        <v>Проверка комплектации</v>
      </c>
      <c r="S625" s="16" t="str">
        <f>iferror(VLOOKUP(C625,'ФИО'!A:B,2,0),"учётный код не найден")</f>
        <v>Хохряков Илья Александрович</v>
      </c>
      <c r="T625" s="13" t="str">
        <f t="shared" si="2"/>
        <v>М17V2 (900-00018.D)_910-00023.H и ПУ 910-00012.I</v>
      </c>
      <c r="U625" s="8">
        <v>0.0</v>
      </c>
      <c r="V625" s="8">
        <v>0.0</v>
      </c>
      <c r="X625" s="14" t="str">
        <f t="shared" si="31"/>
        <v>Данные не заполены</v>
      </c>
      <c r="Y625" s="15">
        <f t="shared" si="54"/>
        <v>0</v>
      </c>
    </row>
    <row r="626" hidden="1">
      <c r="A626" s="7">
        <v>44129.36061711806</v>
      </c>
      <c r="B626" s="8" t="s">
        <v>26</v>
      </c>
      <c r="C626" s="8">
        <v>22087.0</v>
      </c>
      <c r="D626" s="8" t="s">
        <v>69</v>
      </c>
      <c r="F626" s="8" t="s">
        <v>103</v>
      </c>
      <c r="G626" s="8">
        <v>3667.0</v>
      </c>
      <c r="H626" s="8" t="s">
        <v>45</v>
      </c>
      <c r="K626" s="8" t="s">
        <v>155</v>
      </c>
      <c r="L626" s="8" t="s">
        <v>37</v>
      </c>
      <c r="P626" s="9">
        <v>44128.0</v>
      </c>
      <c r="Q626" s="10">
        <v>0.09375</v>
      </c>
      <c r="R626" s="11" t="str">
        <f t="shared" si="1"/>
        <v>Проверка на АОИ PRI</v>
      </c>
      <c r="S626" s="12" t="str">
        <f>iferror(VLOOKUP(C626,'ФИО'!A:B,2,0),"учётный код не найден")</f>
        <v>Хохряков Илья Александрович</v>
      </c>
      <c r="T626" s="13" t="str">
        <f t="shared" si="2"/>
        <v>ПУ N11 910-00188.B</v>
      </c>
      <c r="U626" s="8">
        <v>1860.0</v>
      </c>
      <c r="V626" s="8">
        <v>0.0</v>
      </c>
      <c r="X626" s="14" t="str">
        <f t="shared" si="31"/>
        <v>Данные не заполены</v>
      </c>
      <c r="Y626" s="15">
        <f t="shared" si="54"/>
        <v>0</v>
      </c>
    </row>
    <row r="627" hidden="1">
      <c r="A627" s="7">
        <v>44109.32555451389</v>
      </c>
      <c r="B627" s="8" t="s">
        <v>38</v>
      </c>
      <c r="C627" s="8">
        <v>21475.0</v>
      </c>
      <c r="D627" s="8" t="s">
        <v>69</v>
      </c>
      <c r="F627" s="8" t="s">
        <v>103</v>
      </c>
      <c r="G627" s="8">
        <v>3420.0</v>
      </c>
      <c r="H627" s="8" t="s">
        <v>29</v>
      </c>
      <c r="I627" s="8" t="s">
        <v>75</v>
      </c>
      <c r="L627" s="8" t="s">
        <v>37</v>
      </c>
      <c r="P627" s="9">
        <v>44108.0</v>
      </c>
      <c r="Q627" s="10">
        <v>0.020833333335758653</v>
      </c>
      <c r="R627" s="11" t="str">
        <f t="shared" si="1"/>
        <v>Проверка на АОИ PRI</v>
      </c>
      <c r="S627" s="16" t="str">
        <f>iferror(VLOOKUP(C627,'ФИО'!A:B,2,0),"учётный код не найден")</f>
        <v>Байрамашвили Альберт Зурабович</v>
      </c>
      <c r="T627" s="13" t="str">
        <f t="shared" si="2"/>
        <v>ПБУИК-37В ASLB_758726_011r1 (Квант)</v>
      </c>
      <c r="U627" s="8">
        <v>4.0</v>
      </c>
      <c r="V627" s="8">
        <v>0.0</v>
      </c>
      <c r="W627" s="21" t="str">
        <f t="shared" ref="W627:W633" si="68">IFERROR((((38412/(ifs(O627&lt;35,35,O627&gt;34,O627)/N627)*0.7))),"Данные не заполены")</f>
        <v>Данные не заполены</v>
      </c>
      <c r="X627" s="15" t="str">
        <f t="shared" si="31"/>
        <v>Данные не заполены</v>
      </c>
      <c r="Y627" s="15">
        <f t="shared" si="54"/>
        <v>0</v>
      </c>
    </row>
    <row r="628" hidden="1">
      <c r="A628" s="7">
        <v>44112.32556912037</v>
      </c>
      <c r="B628" s="8" t="s">
        <v>126</v>
      </c>
      <c r="C628" s="8">
        <v>22574.0</v>
      </c>
      <c r="D628" s="8" t="s">
        <v>27</v>
      </c>
      <c r="E628" s="8" t="s">
        <v>166</v>
      </c>
      <c r="G628" s="8">
        <v>3238.0</v>
      </c>
      <c r="H628" s="8" t="s">
        <v>29</v>
      </c>
      <c r="I628" s="8" t="s">
        <v>43</v>
      </c>
      <c r="L628" s="8" t="s">
        <v>31</v>
      </c>
      <c r="M628" s="8" t="s">
        <v>34</v>
      </c>
      <c r="N628" s="8"/>
      <c r="O628" s="8"/>
      <c r="P628" s="9">
        <v>44111.0</v>
      </c>
      <c r="Q628" s="10">
        <v>0.020833333335758653</v>
      </c>
      <c r="R628" s="11" t="str">
        <f t="shared" si="1"/>
        <v>Настройка треев</v>
      </c>
      <c r="S628" s="16" t="str">
        <f>iferror(VLOOKUP(C628,'ФИО'!A:B,2,0),"учётный код не найден")</f>
        <v>Шапенков Геннадий Михайлович</v>
      </c>
      <c r="T628" s="13" t="str">
        <f t="shared" si="2"/>
        <v>915-00097.A - ПКД-8В-3 АСЛБ.467249.110 (Квант)</v>
      </c>
      <c r="U628" s="8">
        <v>6.0</v>
      </c>
      <c r="V628" s="8">
        <v>0.0</v>
      </c>
      <c r="W628" s="21" t="str">
        <f t="shared" si="68"/>
        <v>Данные не заполены</v>
      </c>
      <c r="X628" s="15" t="str">
        <f t="shared" si="31"/>
        <v>Данные не заполены</v>
      </c>
      <c r="Y628" s="15">
        <f t="shared" si="54"/>
        <v>0</v>
      </c>
    </row>
    <row r="629" hidden="1">
      <c r="A629" s="7">
        <v>44109.3580371412</v>
      </c>
      <c r="B629" s="8" t="s">
        <v>127</v>
      </c>
      <c r="C629" s="8">
        <v>21927.0</v>
      </c>
      <c r="D629" s="8" t="s">
        <v>27</v>
      </c>
      <c r="E629" s="8" t="s">
        <v>112</v>
      </c>
      <c r="G629" s="8">
        <v>3706.0</v>
      </c>
      <c r="H629" s="8" t="s">
        <v>45</v>
      </c>
      <c r="K629" s="8" t="s">
        <v>91</v>
      </c>
      <c r="L629" s="8" t="s">
        <v>31</v>
      </c>
      <c r="M629" s="8" t="s">
        <v>34</v>
      </c>
      <c r="N629" s="8"/>
      <c r="O629" s="8"/>
      <c r="P629" s="9">
        <v>44108.0</v>
      </c>
      <c r="Q629" s="10">
        <v>0.013888888890505768</v>
      </c>
      <c r="R629" s="11" t="str">
        <f t="shared" si="1"/>
        <v>Разрядка питателей Sec</v>
      </c>
      <c r="S629" s="16" t="str">
        <f>iferror(VLOOKUP(C629,'ФИО'!A:B,2,0),"учётный код не найден")</f>
        <v>Шергин Родион Олегович</v>
      </c>
      <c r="T629" s="11" t="str">
        <f t="shared" si="2"/>
        <v>ПУ Сигма 10/15 910-00080.D</v>
      </c>
      <c r="U629" s="8">
        <v>0.0</v>
      </c>
      <c r="V629" s="8">
        <v>0.0</v>
      </c>
      <c r="W629" s="21" t="str">
        <f t="shared" si="68"/>
        <v>Данные не заполены</v>
      </c>
      <c r="X629" s="15" t="str">
        <f t="shared" si="31"/>
        <v>Данные не заполены</v>
      </c>
      <c r="Y629" s="15">
        <f t="shared" si="54"/>
        <v>0</v>
      </c>
    </row>
    <row r="630" hidden="1">
      <c r="A630" s="7">
        <v>44120.84131491898</v>
      </c>
      <c r="B630" s="8" t="s">
        <v>126</v>
      </c>
      <c r="C630" s="8">
        <v>21927.0</v>
      </c>
      <c r="D630" s="8" t="s">
        <v>27</v>
      </c>
      <c r="E630" s="8" t="s">
        <v>166</v>
      </c>
      <c r="G630" s="8">
        <v>3253.0</v>
      </c>
      <c r="H630" s="8" t="s">
        <v>29</v>
      </c>
      <c r="I630" s="8" t="s">
        <v>95</v>
      </c>
      <c r="L630" s="8" t="s">
        <v>31</v>
      </c>
      <c r="M630" s="8" t="s">
        <v>34</v>
      </c>
      <c r="P630" s="9">
        <v>44119.0</v>
      </c>
      <c r="Q630" s="10">
        <v>0.020833333335758653</v>
      </c>
      <c r="R630" s="11" t="str">
        <f t="shared" si="1"/>
        <v>Настройка треев</v>
      </c>
      <c r="S630" s="16" t="str">
        <f>iferror(VLOOKUP(C630,'ФИО'!A:B,2,0),"учётный код не найден")</f>
        <v>Шергин Родион Олегович</v>
      </c>
      <c r="T630" s="13" t="str">
        <f t="shared" si="2"/>
        <v>915-00095.A - ПКД-8В-1 АСЛБ.467249.108 (Квант)</v>
      </c>
      <c r="U630" s="8">
        <v>0.0</v>
      </c>
      <c r="V630" s="8">
        <v>0.0</v>
      </c>
      <c r="W630" s="17" t="str">
        <f t="shared" si="68"/>
        <v>Данные не заполены</v>
      </c>
      <c r="X630" s="14" t="str">
        <f t="shared" si="31"/>
        <v>Данные не заполены</v>
      </c>
    </row>
    <row r="631" hidden="1">
      <c r="A631" s="7">
        <v>44120.84236094907</v>
      </c>
      <c r="B631" s="8" t="s">
        <v>126</v>
      </c>
      <c r="C631" s="8">
        <v>21927.0</v>
      </c>
      <c r="D631" s="8" t="s">
        <v>27</v>
      </c>
      <c r="E631" s="8" t="s">
        <v>166</v>
      </c>
      <c r="G631" s="8">
        <v>3252.0</v>
      </c>
      <c r="H631" s="8" t="s">
        <v>29</v>
      </c>
      <c r="I631" s="8" t="s">
        <v>96</v>
      </c>
      <c r="L631" s="8" t="s">
        <v>31</v>
      </c>
      <c r="M631" s="8" t="s">
        <v>34</v>
      </c>
      <c r="P631" s="9">
        <v>44119.0</v>
      </c>
      <c r="Q631" s="10">
        <v>0.020833333335758653</v>
      </c>
      <c r="R631" s="11" t="str">
        <f t="shared" si="1"/>
        <v>Настройка треев</v>
      </c>
      <c r="S631" s="16" t="str">
        <f>iferror(VLOOKUP(C631,'ФИО'!A:B,2,0),"учётный код не найден")</f>
        <v>Шергин Родион Олегович</v>
      </c>
      <c r="T631" s="13" t="str">
        <f t="shared" si="2"/>
        <v>915-00096.A - ПКД-8В-2 АСЛБ.467249.109</v>
      </c>
      <c r="U631" s="8">
        <v>0.0</v>
      </c>
      <c r="V631" s="8">
        <v>0.0</v>
      </c>
      <c r="W631" s="17" t="str">
        <f t="shared" si="68"/>
        <v>Данные не заполены</v>
      </c>
      <c r="X631" s="14" t="str">
        <f t="shared" si="31"/>
        <v>Данные не заполены</v>
      </c>
    </row>
    <row r="632" hidden="1">
      <c r="A632" s="7">
        <v>44109.35451554398</v>
      </c>
      <c r="B632" s="8" t="s">
        <v>127</v>
      </c>
      <c r="C632" s="8">
        <v>21927.0</v>
      </c>
      <c r="D632" s="8" t="s">
        <v>27</v>
      </c>
      <c r="E632" s="8" t="s">
        <v>67</v>
      </c>
      <c r="G632" s="8">
        <v>3233.0</v>
      </c>
      <c r="H632" s="8" t="s">
        <v>29</v>
      </c>
      <c r="I632" s="8" t="s">
        <v>60</v>
      </c>
      <c r="L632" s="8" t="s">
        <v>37</v>
      </c>
      <c r="P632" s="9">
        <v>44108.0</v>
      </c>
      <c r="Q632" s="10">
        <v>0.04166666666424135</v>
      </c>
      <c r="R632" s="11" t="str">
        <f t="shared" si="1"/>
        <v>Сборка на линии Prim</v>
      </c>
      <c r="S632" s="16" t="str">
        <f>iferror(VLOOKUP(C632,'ФИО'!A:B,2,0),"учётный код не найден")</f>
        <v>Шергин Родион Олегович</v>
      </c>
      <c r="T632" s="11" t="str">
        <f t="shared" si="2"/>
        <v>915-00102.A - ПБОК-2В АСЛБ.465285.013 (Квант)</v>
      </c>
      <c r="U632" s="8">
        <v>0.0</v>
      </c>
      <c r="V632" s="8">
        <v>0.0</v>
      </c>
      <c r="W632" s="21" t="str">
        <f t="shared" si="68"/>
        <v>Данные не заполены</v>
      </c>
      <c r="X632" s="15" t="str">
        <f t="shared" si="31"/>
        <v>Данные не заполены</v>
      </c>
      <c r="Y632" s="15">
        <f t="shared" ref="Y632:Y645" si="69">iferror((V632/if(U632=0,1,U632)),0)</f>
        <v>0</v>
      </c>
    </row>
    <row r="633" hidden="1">
      <c r="A633" s="7">
        <v>44113.81924465278</v>
      </c>
      <c r="B633" s="8" t="s">
        <v>26</v>
      </c>
      <c r="C633" s="8">
        <v>21475.0</v>
      </c>
      <c r="D633" s="8" t="s">
        <v>69</v>
      </c>
      <c r="F633" s="8" t="s">
        <v>103</v>
      </c>
      <c r="G633" s="8">
        <v>3579.0</v>
      </c>
      <c r="H633" s="8" t="s">
        <v>29</v>
      </c>
      <c r="I633" s="8" t="s">
        <v>42</v>
      </c>
      <c r="L633" s="8" t="s">
        <v>37</v>
      </c>
      <c r="P633" s="9">
        <v>44113.0</v>
      </c>
      <c r="Q633" s="10">
        <v>0.020833333335758653</v>
      </c>
      <c r="R633" s="11" t="str">
        <f t="shared" si="1"/>
        <v>Проверка на АОИ PRI</v>
      </c>
      <c r="S633" s="16" t="str">
        <f>iferror(VLOOKUP(C633,'ФИО'!A:B,2,0),"учётный код не найден")</f>
        <v>Байрамашвили Альберт Зурабович</v>
      </c>
      <c r="T633" s="13" t="str">
        <f t="shared" si="2"/>
        <v>915-00070.A - Модуль телематики ТМ1 v3 (Сознательные машины)</v>
      </c>
      <c r="U633" s="8">
        <v>51.0</v>
      </c>
      <c r="V633" s="8">
        <v>21.0</v>
      </c>
      <c r="W633" s="21" t="str">
        <f t="shared" si="68"/>
        <v>Данные не заполены</v>
      </c>
      <c r="X633" s="15" t="str">
        <f t="shared" si="31"/>
        <v>Данные не заполены</v>
      </c>
      <c r="Y633" s="15">
        <f t="shared" si="69"/>
        <v>0.4117647059</v>
      </c>
      <c r="Z633" s="8" t="s">
        <v>203</v>
      </c>
    </row>
    <row r="634" hidden="1">
      <c r="A634" s="7">
        <v>44129.816947071755</v>
      </c>
      <c r="B634" s="8" t="s">
        <v>26</v>
      </c>
      <c r="C634" s="8">
        <v>22087.0</v>
      </c>
      <c r="D634" s="8" t="s">
        <v>69</v>
      </c>
      <c r="F634" s="8" t="s">
        <v>103</v>
      </c>
      <c r="G634" s="8">
        <v>3047.0</v>
      </c>
      <c r="H634" s="8" t="s">
        <v>29</v>
      </c>
      <c r="I634" s="8" t="s">
        <v>77</v>
      </c>
      <c r="L634" s="8" t="s">
        <v>37</v>
      </c>
      <c r="P634" s="9">
        <v>44129.0</v>
      </c>
      <c r="Q634" s="10">
        <v>0.14930555555474712</v>
      </c>
      <c r="R634" s="11" t="str">
        <f t="shared" si="1"/>
        <v>Проверка на АОИ PRI</v>
      </c>
      <c r="S634" s="12" t="str">
        <f>iferror(VLOOKUP(C634,'ФИО'!A:B,2,0),"учётный код не найден")</f>
        <v>Хохряков Илья Александрович</v>
      </c>
      <c r="T634" s="13" t="str">
        <f t="shared" si="2"/>
        <v>915-00081.A-Модуль Трик8 (Кибертех)</v>
      </c>
      <c r="U634" s="8">
        <v>18.0</v>
      </c>
      <c r="V634" s="8">
        <v>22.0</v>
      </c>
      <c r="X634" s="14" t="str">
        <f t="shared" si="31"/>
        <v>Данные не заполены</v>
      </c>
      <c r="Y634" s="15">
        <f t="shared" si="69"/>
        <v>1.222222222</v>
      </c>
      <c r="Z634" s="8" t="s">
        <v>188</v>
      </c>
    </row>
    <row r="635" hidden="1">
      <c r="A635" s="7">
        <v>44112.8179415162</v>
      </c>
      <c r="B635" s="8" t="s">
        <v>26</v>
      </c>
      <c r="C635" s="8">
        <v>22087.0</v>
      </c>
      <c r="D635" s="8" t="s">
        <v>27</v>
      </c>
      <c r="E635" s="8" t="s">
        <v>66</v>
      </c>
      <c r="G635" s="8">
        <v>3238.0</v>
      </c>
      <c r="H635" s="8" t="s">
        <v>29</v>
      </c>
      <c r="I635" s="8" t="s">
        <v>43</v>
      </c>
      <c r="L635" s="8" t="s">
        <v>31</v>
      </c>
      <c r="M635" s="8" t="s">
        <v>34</v>
      </c>
      <c r="N635" s="8"/>
      <c r="O635" s="8"/>
      <c r="P635" s="9">
        <v>44112.0</v>
      </c>
      <c r="Q635" s="10">
        <v>0.125</v>
      </c>
      <c r="R635" s="11" t="str">
        <f t="shared" si="1"/>
        <v>Проверка первой платы до оплавления</v>
      </c>
      <c r="S635" s="16" t="str">
        <f>iferror(VLOOKUP(C635,'ФИО'!A:B,2,0),"учётный код не найден")</f>
        <v>Хохряков Илья Александрович</v>
      </c>
      <c r="T635" s="13" t="str">
        <f t="shared" si="2"/>
        <v>915-00097.A - ПКД-8В-3 АСЛБ.467249.110 (Квант)</v>
      </c>
      <c r="U635" s="8">
        <v>0.0</v>
      </c>
      <c r="V635" s="8">
        <v>0.0</v>
      </c>
      <c r="W635" s="21" t="str">
        <f t="shared" ref="W635:W652" si="70">IFERROR((((38412/(ifs(O635&lt;35,35,O635&gt;34,O635)/N635)*0.7))),"Данные не заполены")</f>
        <v>Данные не заполены</v>
      </c>
      <c r="X635" s="15" t="str">
        <f t="shared" si="31"/>
        <v>Данные не заполены</v>
      </c>
      <c r="Y635" s="15">
        <f t="shared" si="69"/>
        <v>0</v>
      </c>
    </row>
    <row r="636">
      <c r="A636" s="7">
        <v>44117.319611087965</v>
      </c>
      <c r="B636" s="8" t="s">
        <v>38</v>
      </c>
      <c r="C636" s="8">
        <v>60000.0</v>
      </c>
      <c r="D636" s="8" t="s">
        <v>69</v>
      </c>
      <c r="F636" s="8" t="s">
        <v>72</v>
      </c>
      <c r="G636" s="8">
        <v>3750.0</v>
      </c>
      <c r="H636" s="8" t="s">
        <v>45</v>
      </c>
      <c r="K636" s="8" t="s">
        <v>46</v>
      </c>
      <c r="L636" s="8" t="s">
        <v>37</v>
      </c>
      <c r="P636" s="9">
        <v>44116.0</v>
      </c>
      <c r="Q636" s="10">
        <v>0.29166666666424135</v>
      </c>
      <c r="R636" s="11" t="str">
        <f t="shared" si="1"/>
        <v>Пайка компонентов PRI</v>
      </c>
      <c r="S636" s="12" t="str">
        <f>iferror(VLOOKUP(C636,'ФИО'!A:B,2,0),"учётный код не найден")</f>
        <v>THT</v>
      </c>
      <c r="T636" s="13" t="str">
        <f t="shared" si="2"/>
        <v>ПУ 910-00349.A "Печатный узел основного блока E96 4LIN"</v>
      </c>
      <c r="U636" s="8">
        <v>672.0</v>
      </c>
      <c r="V636" s="8">
        <v>0.0</v>
      </c>
      <c r="W636" s="21" t="str">
        <f t="shared" si="70"/>
        <v>Данные не заполены</v>
      </c>
      <c r="X636" s="15" t="str">
        <f t="shared" si="31"/>
        <v>Данные не заполены</v>
      </c>
      <c r="Y636" s="15">
        <f t="shared" si="69"/>
        <v>0</v>
      </c>
    </row>
    <row r="637" hidden="1">
      <c r="A637" s="7">
        <v>44109.822514988424</v>
      </c>
      <c r="B637" s="8" t="s">
        <v>127</v>
      </c>
      <c r="C637" s="8">
        <v>21927.0</v>
      </c>
      <c r="D637" s="8" t="s">
        <v>27</v>
      </c>
      <c r="E637" s="8" t="s">
        <v>67</v>
      </c>
      <c r="G637" s="8">
        <v>3726.0</v>
      </c>
      <c r="H637" s="8" t="s">
        <v>45</v>
      </c>
      <c r="K637" s="8" t="s">
        <v>58</v>
      </c>
      <c r="L637" s="8" t="s">
        <v>37</v>
      </c>
      <c r="P637" s="9">
        <v>44109.0</v>
      </c>
      <c r="Q637" s="10">
        <v>0.16666666666424135</v>
      </c>
      <c r="R637" s="11" t="str">
        <f t="shared" si="1"/>
        <v>Сборка на линии Prim</v>
      </c>
      <c r="S637" s="16" t="str">
        <f>iferror(VLOOKUP(C637,'ФИО'!A:B,2,0),"учётный код не найден")</f>
        <v>Шергин Родион Олегович</v>
      </c>
      <c r="T637" s="11" t="str">
        <f t="shared" si="2"/>
        <v>ПУ метки i95</v>
      </c>
      <c r="U637" s="8">
        <v>0.0</v>
      </c>
      <c r="V637" s="8">
        <v>0.0</v>
      </c>
      <c r="W637" s="21" t="str">
        <f t="shared" si="70"/>
        <v>Данные не заполены</v>
      </c>
      <c r="X637" s="15" t="str">
        <f t="shared" si="31"/>
        <v>Данные не заполены</v>
      </c>
      <c r="Y637" s="15">
        <f t="shared" si="69"/>
        <v>0</v>
      </c>
    </row>
    <row r="638" hidden="1">
      <c r="A638" s="7">
        <v>44117.35673349537</v>
      </c>
      <c r="B638" s="8" t="s">
        <v>127</v>
      </c>
      <c r="C638" s="8">
        <v>21927.0</v>
      </c>
      <c r="D638" s="8" t="s">
        <v>27</v>
      </c>
      <c r="E638" s="8" t="s">
        <v>67</v>
      </c>
      <c r="G638" s="8">
        <v>3750.0</v>
      </c>
      <c r="H638" s="8" t="s">
        <v>45</v>
      </c>
      <c r="K638" s="8" t="s">
        <v>46</v>
      </c>
      <c r="L638" s="8" t="s">
        <v>37</v>
      </c>
      <c r="P638" s="9">
        <v>44116.0</v>
      </c>
      <c r="Q638" s="10">
        <v>0.020833333335758653</v>
      </c>
      <c r="R638" s="11" t="str">
        <f t="shared" si="1"/>
        <v>Сборка на линии Prim</v>
      </c>
      <c r="S638" s="16" t="str">
        <f>iferror(VLOOKUP(C638,'ФИО'!A:B,2,0),"учётный код не найден")</f>
        <v>Шергин Родион Олегович</v>
      </c>
      <c r="T638" s="11" t="str">
        <f t="shared" si="2"/>
        <v>ПУ 910-00349.A "Печатный узел основного блока E96 4LIN"</v>
      </c>
      <c r="U638" s="8">
        <v>0.0</v>
      </c>
      <c r="V638" s="8">
        <v>0.0</v>
      </c>
      <c r="W638" s="17" t="str">
        <f t="shared" si="70"/>
        <v>Данные не заполены</v>
      </c>
      <c r="X638" s="14" t="str">
        <f t="shared" si="31"/>
        <v>Данные не заполены</v>
      </c>
      <c r="Y638" s="15">
        <f t="shared" si="69"/>
        <v>0</v>
      </c>
    </row>
    <row r="639" hidden="1">
      <c r="A639" s="7">
        <v>44117.801331215276</v>
      </c>
      <c r="B639" s="8" t="s">
        <v>127</v>
      </c>
      <c r="C639" s="8">
        <v>21927.0</v>
      </c>
      <c r="D639" s="8" t="s">
        <v>27</v>
      </c>
      <c r="E639" s="8" t="s">
        <v>67</v>
      </c>
      <c r="G639" s="8">
        <v>3622.0</v>
      </c>
      <c r="H639" s="8" t="s">
        <v>29</v>
      </c>
      <c r="I639" s="8" t="s">
        <v>90</v>
      </c>
      <c r="L639" s="8" t="s">
        <v>37</v>
      </c>
      <c r="P639" s="9">
        <v>44117.0</v>
      </c>
      <c r="Q639" s="10">
        <v>0.22916666666424135</v>
      </c>
      <c r="R639" s="11" t="str">
        <f t="shared" si="1"/>
        <v>Сборка на линии Prim</v>
      </c>
      <c r="S639" s="16" t="str">
        <f>iferror(VLOOKUP(C639,'ФИО'!A:B,2,0),"учётный код не найден")</f>
        <v>Шергин Родион Олегович</v>
      </c>
      <c r="T639" s="11" t="str">
        <f t="shared" si="2"/>
        <v>915-00124.A - Tioga Pass_v1.1 (Гагар.ин)</v>
      </c>
      <c r="U639" s="8">
        <v>0.0</v>
      </c>
      <c r="V639" s="8">
        <v>0.0</v>
      </c>
      <c r="W639" s="17" t="str">
        <f t="shared" si="70"/>
        <v>Данные не заполены</v>
      </c>
      <c r="X639" s="14" t="str">
        <f t="shared" si="31"/>
        <v>Данные не заполены</v>
      </c>
      <c r="Y639" s="15">
        <f t="shared" si="69"/>
        <v>0</v>
      </c>
    </row>
    <row r="640" hidden="1">
      <c r="A640" s="7">
        <v>44125.83074320602</v>
      </c>
      <c r="B640" s="8" t="s">
        <v>127</v>
      </c>
      <c r="C640" s="8">
        <v>21927.0</v>
      </c>
      <c r="D640" s="8" t="s">
        <v>27</v>
      </c>
      <c r="E640" s="8" t="s">
        <v>67</v>
      </c>
      <c r="G640" s="8">
        <v>3253.0</v>
      </c>
      <c r="H640" s="8" t="s">
        <v>29</v>
      </c>
      <c r="I640" s="8" t="s">
        <v>95</v>
      </c>
      <c r="L640" s="8" t="s">
        <v>37</v>
      </c>
      <c r="P640" s="9">
        <v>44125.0</v>
      </c>
      <c r="Q640" s="10">
        <v>0.125</v>
      </c>
      <c r="R640" s="11" t="str">
        <f t="shared" si="1"/>
        <v>Сборка на линии Prim</v>
      </c>
      <c r="S640" s="16" t="str">
        <f>iferror(VLOOKUP(C640,'ФИО'!A:B,2,0),"учётный код не найден")</f>
        <v>Шергин Родион Олегович</v>
      </c>
      <c r="T640" s="11" t="str">
        <f t="shared" si="2"/>
        <v>915-00095.A - ПКД-8В-1 АСЛБ.467249.108 (Квант)</v>
      </c>
      <c r="U640" s="8">
        <v>0.0</v>
      </c>
      <c r="V640" s="8">
        <v>0.0</v>
      </c>
      <c r="W640" s="17" t="str">
        <f t="shared" si="70"/>
        <v>Данные не заполены</v>
      </c>
      <c r="X640" s="14" t="str">
        <f t="shared" si="31"/>
        <v>Данные не заполены</v>
      </c>
      <c r="Y640" s="15">
        <f t="shared" si="69"/>
        <v>0</v>
      </c>
    </row>
    <row r="641" hidden="1">
      <c r="A641" s="7">
        <v>44112.875857928244</v>
      </c>
      <c r="B641" s="8" t="s">
        <v>126</v>
      </c>
      <c r="C641" s="8">
        <v>21927.0</v>
      </c>
      <c r="D641" s="8" t="s">
        <v>27</v>
      </c>
      <c r="E641" s="8" t="s">
        <v>82</v>
      </c>
      <c r="G641" s="8">
        <v>3538.0</v>
      </c>
      <c r="H641" s="8" t="s">
        <v>29</v>
      </c>
      <c r="I641" s="8" t="s">
        <v>95</v>
      </c>
      <c r="L641" s="8" t="s">
        <v>31</v>
      </c>
      <c r="M641" s="8" t="s">
        <v>34</v>
      </c>
      <c r="N641" s="8"/>
      <c r="O641" s="8"/>
      <c r="P641" s="9">
        <v>44111.0</v>
      </c>
      <c r="Q641" s="10">
        <v>0.020833333335758653</v>
      </c>
      <c r="R641" s="11" t="str">
        <f t="shared" si="1"/>
        <v>Настройка установщиков</v>
      </c>
      <c r="S641" s="16" t="str">
        <f>iferror(VLOOKUP(C641,'ФИО'!A:B,2,0),"учётный код не найден")</f>
        <v>Шергин Родион Олегович</v>
      </c>
      <c r="T641" s="13" t="str">
        <f t="shared" si="2"/>
        <v>915-00095.A - ПКД-8В-1 АСЛБ.467249.108 (Квант)</v>
      </c>
      <c r="U641" s="8">
        <v>1.0</v>
      </c>
      <c r="V641" s="8">
        <v>0.0</v>
      </c>
      <c r="W641" s="21" t="str">
        <f t="shared" si="70"/>
        <v>Данные не заполены</v>
      </c>
      <c r="X641" s="15" t="str">
        <f t="shared" si="31"/>
        <v>Данные не заполены</v>
      </c>
      <c r="Y641" s="15">
        <f t="shared" si="69"/>
        <v>0</v>
      </c>
    </row>
    <row r="642" hidden="1">
      <c r="A642" s="7">
        <v>44113.33121390046</v>
      </c>
      <c r="B642" s="8" t="s">
        <v>126</v>
      </c>
      <c r="C642" s="8">
        <v>21927.0</v>
      </c>
      <c r="D642" s="8" t="s">
        <v>27</v>
      </c>
      <c r="E642" s="8" t="s">
        <v>82</v>
      </c>
      <c r="G642" s="8">
        <v>3580.0</v>
      </c>
      <c r="H642" s="8" t="s">
        <v>29</v>
      </c>
      <c r="I642" s="8" t="s">
        <v>146</v>
      </c>
      <c r="L642" s="8" t="s">
        <v>31</v>
      </c>
      <c r="M642" s="8" t="s">
        <v>34</v>
      </c>
      <c r="N642" s="8"/>
      <c r="O642" s="8"/>
      <c r="P642" s="9">
        <v>44112.0</v>
      </c>
      <c r="Q642" s="10">
        <v>0.020833333335758653</v>
      </c>
      <c r="R642" s="11" t="str">
        <f t="shared" si="1"/>
        <v>Настройка установщиков</v>
      </c>
      <c r="S642" s="16" t="str">
        <f>iferror(VLOOKUP(C642,'ФИО'!A:B,2,0),"учётный код не найден")</f>
        <v>Шергин Родион Олегович</v>
      </c>
      <c r="T642" s="13" t="str">
        <f t="shared" si="2"/>
        <v>XR (Термотроник)</v>
      </c>
      <c r="U642" s="8">
        <v>1.0</v>
      </c>
      <c r="V642" s="8">
        <v>0.0</v>
      </c>
      <c r="W642" s="21" t="str">
        <f t="shared" si="70"/>
        <v>Данные не заполены</v>
      </c>
      <c r="X642" s="15" t="str">
        <f t="shared" si="31"/>
        <v>Данные не заполены</v>
      </c>
      <c r="Y642" s="15">
        <f t="shared" si="69"/>
        <v>0</v>
      </c>
    </row>
    <row r="643" hidden="1">
      <c r="A643" s="7">
        <v>44109.35683929398</v>
      </c>
      <c r="B643" s="8" t="s">
        <v>127</v>
      </c>
      <c r="C643" s="8">
        <v>21927.0</v>
      </c>
      <c r="D643" s="8" t="s">
        <v>27</v>
      </c>
      <c r="E643" s="8" t="s">
        <v>88</v>
      </c>
      <c r="G643" s="8">
        <v>3706.0</v>
      </c>
      <c r="H643" s="8" t="s">
        <v>45</v>
      </c>
      <c r="K643" s="8" t="s">
        <v>91</v>
      </c>
      <c r="L643" s="8" t="s">
        <v>37</v>
      </c>
      <c r="P643" s="9">
        <v>44108.0</v>
      </c>
      <c r="Q643" s="10">
        <v>0.21527777778101154</v>
      </c>
      <c r="R643" s="11" t="str">
        <f t="shared" si="1"/>
        <v>Сборка на линии Sec</v>
      </c>
      <c r="S643" s="16" t="str">
        <f>iferror(VLOOKUP(C643,'ФИО'!A:B,2,0),"учётный код не найден")</f>
        <v>Шергин Родион Олегович</v>
      </c>
      <c r="T643" s="11" t="str">
        <f t="shared" si="2"/>
        <v>ПУ Сигма 10/15 910-00080.D</v>
      </c>
      <c r="U643" s="8">
        <v>0.0</v>
      </c>
      <c r="V643" s="8">
        <v>0.0</v>
      </c>
      <c r="W643" s="21" t="str">
        <f t="shared" si="70"/>
        <v>Данные не заполены</v>
      </c>
      <c r="X643" s="15" t="str">
        <f t="shared" si="31"/>
        <v>Данные не заполены</v>
      </c>
      <c r="Y643" s="15">
        <f t="shared" si="69"/>
        <v>0</v>
      </c>
    </row>
    <row r="644" hidden="1">
      <c r="A644" s="7">
        <v>44117.79954383102</v>
      </c>
      <c r="B644" s="8" t="s">
        <v>127</v>
      </c>
      <c r="C644" s="8">
        <v>21927.0</v>
      </c>
      <c r="D644" s="8" t="s">
        <v>27</v>
      </c>
      <c r="E644" s="8" t="s">
        <v>109</v>
      </c>
      <c r="G644" s="8">
        <v>3622.0</v>
      </c>
      <c r="H644" s="8" t="s">
        <v>29</v>
      </c>
      <c r="I644" s="8" t="s">
        <v>90</v>
      </c>
      <c r="L644" s="8" t="s">
        <v>31</v>
      </c>
      <c r="M644" s="8" t="s">
        <v>34</v>
      </c>
      <c r="P644" s="9">
        <v>44117.0</v>
      </c>
      <c r="Q644" s="10">
        <v>0.08333333333575865</v>
      </c>
      <c r="R644" s="11" t="str">
        <f t="shared" si="1"/>
        <v>Установка компонентов вручную</v>
      </c>
      <c r="S644" s="16" t="str">
        <f>iferror(VLOOKUP(C644,'ФИО'!A:B,2,0),"учётный код не найден")</f>
        <v>Шергин Родион Олегович</v>
      </c>
      <c r="T644" s="11" t="str">
        <f t="shared" si="2"/>
        <v>915-00124.A - Tioga Pass_v1.1 (Гагар.ин)</v>
      </c>
      <c r="U644" s="8">
        <v>0.0</v>
      </c>
      <c r="V644" s="8">
        <v>0.0</v>
      </c>
      <c r="W644" s="17" t="str">
        <f t="shared" si="70"/>
        <v>Данные не заполены</v>
      </c>
      <c r="X644" s="14" t="str">
        <f t="shared" si="31"/>
        <v>Данные не заполены</v>
      </c>
      <c r="Y644" s="15">
        <f t="shared" si="69"/>
        <v>0</v>
      </c>
    </row>
    <row r="645" hidden="1">
      <c r="A645" s="7">
        <v>44137.32892488426</v>
      </c>
      <c r="B645" s="8" t="s">
        <v>126</v>
      </c>
      <c r="C645" s="8">
        <v>21927.0</v>
      </c>
      <c r="D645" s="8" t="s">
        <v>27</v>
      </c>
      <c r="E645" s="8" t="s">
        <v>195</v>
      </c>
      <c r="G645" s="8">
        <v>3778.0</v>
      </c>
      <c r="H645" s="8" t="s">
        <v>45</v>
      </c>
      <c r="K645" s="8" t="s">
        <v>46</v>
      </c>
      <c r="L645" s="8" t="s">
        <v>37</v>
      </c>
      <c r="P645" s="9">
        <v>44136.0</v>
      </c>
      <c r="Q645" s="10">
        <v>0.45833333333575865</v>
      </c>
      <c r="R645" s="11" t="str">
        <f t="shared" si="1"/>
        <v>Проверка программы на АОИ PRI</v>
      </c>
      <c r="S645" s="16" t="str">
        <f>iferror(VLOOKUP(C645,'ФИО'!A:B,2,0),"учётный код не найден")</f>
        <v>Шергин Родион Олегович</v>
      </c>
      <c r="T645" s="11" t="str">
        <f t="shared" si="2"/>
        <v>ПУ 910-00349.A "Печатный узел основного блока E96 4LIN"</v>
      </c>
      <c r="U645" s="8">
        <v>1276.0</v>
      </c>
      <c r="V645" s="8">
        <v>196.0</v>
      </c>
      <c r="W645" s="17" t="str">
        <f t="shared" si="70"/>
        <v>Данные не заполены</v>
      </c>
      <c r="X645" s="14" t="str">
        <f t="shared" si="31"/>
        <v>Данные не заполены</v>
      </c>
      <c r="Y645" s="15">
        <f t="shared" si="69"/>
        <v>0.1536050157</v>
      </c>
    </row>
    <row r="646" ht="17.25" hidden="1" customHeight="1">
      <c r="A646" s="7">
        <v>44120.842704317125</v>
      </c>
      <c r="B646" s="8" t="s">
        <v>126</v>
      </c>
      <c r="C646" s="8">
        <v>21927.0</v>
      </c>
      <c r="D646" s="8" t="s">
        <v>27</v>
      </c>
      <c r="E646" s="8" t="s">
        <v>82</v>
      </c>
      <c r="G646" s="8">
        <v>3252.0</v>
      </c>
      <c r="H646" s="8" t="s">
        <v>29</v>
      </c>
      <c r="I646" s="8" t="s">
        <v>96</v>
      </c>
      <c r="L646" s="8" t="s">
        <v>31</v>
      </c>
      <c r="M646" s="8" t="s">
        <v>34</v>
      </c>
      <c r="P646" s="9">
        <v>44119.0</v>
      </c>
      <c r="Q646" s="10">
        <v>0.020833333335758653</v>
      </c>
      <c r="R646" s="11" t="str">
        <f t="shared" si="1"/>
        <v>Настройка установщиков</v>
      </c>
      <c r="S646" s="16" t="str">
        <f>iferror(VLOOKUP(C646,'ФИО'!A:B,2,0),"учётный код не найден")</f>
        <v>Шергин Родион Олегович</v>
      </c>
      <c r="T646" s="13" t="str">
        <f t="shared" si="2"/>
        <v>915-00096.A - ПКД-8В-2 АСЛБ.467249.109</v>
      </c>
      <c r="U646" s="8">
        <v>0.0</v>
      </c>
      <c r="V646" s="8">
        <v>0.0</v>
      </c>
      <c r="W646" s="17" t="str">
        <f t="shared" si="70"/>
        <v>Данные не заполены</v>
      </c>
      <c r="X646" s="14" t="str">
        <f t="shared" si="31"/>
        <v>Данные не заполены</v>
      </c>
    </row>
    <row r="647" ht="18.75" hidden="1" customHeight="1">
      <c r="A647" s="7">
        <v>44121.330821041665</v>
      </c>
      <c r="B647" s="8" t="s">
        <v>126</v>
      </c>
      <c r="C647" s="8">
        <v>21852.0</v>
      </c>
      <c r="D647" s="8" t="s">
        <v>27</v>
      </c>
      <c r="E647" s="8" t="s">
        <v>82</v>
      </c>
      <c r="G647" s="8">
        <v>3649.0</v>
      </c>
      <c r="H647" s="8" t="s">
        <v>29</v>
      </c>
      <c r="I647" s="8" t="s">
        <v>33</v>
      </c>
      <c r="L647" s="8" t="s">
        <v>31</v>
      </c>
      <c r="M647" s="8" t="s">
        <v>34</v>
      </c>
      <c r="P647" s="9">
        <v>44120.0</v>
      </c>
      <c r="Q647" s="10">
        <v>0.020833333335758653</v>
      </c>
      <c r="R647" s="11" t="str">
        <f t="shared" si="1"/>
        <v>Настройка установщиков</v>
      </c>
      <c r="S647" s="16" t="str">
        <f>iferror(VLOOKUP(C647,'ФИО'!A:B,2,0),"учётный код не найден")</f>
        <v>Пономарев Юрий Андреевич</v>
      </c>
      <c r="T647" s="13" t="str">
        <f t="shared" si="2"/>
        <v>ssfp2.2 (Метротек)</v>
      </c>
      <c r="U647" s="8">
        <v>0.0</v>
      </c>
      <c r="V647" s="8">
        <v>0.0</v>
      </c>
      <c r="W647" s="17" t="str">
        <f t="shared" si="70"/>
        <v>Данные не заполены</v>
      </c>
      <c r="X647" s="14" t="str">
        <f t="shared" si="31"/>
        <v>Данные не заполены</v>
      </c>
      <c r="Y647" s="15">
        <f t="shared" ref="Y647:Y661" si="71">iferror((V647/if(U647=0,1,U647)),0)</f>
        <v>0</v>
      </c>
    </row>
    <row r="648" ht="19.5" hidden="1" customHeight="1">
      <c r="A648" s="7">
        <v>44121.33278002315</v>
      </c>
      <c r="B648" s="8" t="s">
        <v>126</v>
      </c>
      <c r="C648" s="8">
        <v>21852.0</v>
      </c>
      <c r="D648" s="8" t="s">
        <v>27</v>
      </c>
      <c r="E648" s="8" t="s">
        <v>82</v>
      </c>
      <c r="G648" s="8">
        <v>3754.0</v>
      </c>
      <c r="H648" s="8" t="s">
        <v>45</v>
      </c>
      <c r="K648" s="8" t="s">
        <v>119</v>
      </c>
      <c r="L648" s="8" t="s">
        <v>31</v>
      </c>
      <c r="M648" s="8" t="s">
        <v>34</v>
      </c>
      <c r="P648" s="9">
        <v>44120.0</v>
      </c>
      <c r="Q648" s="10">
        <v>0.020833333335758653</v>
      </c>
      <c r="R648" s="11" t="str">
        <f t="shared" si="1"/>
        <v>Настройка установщиков</v>
      </c>
      <c r="S648" s="16" t="str">
        <f>iferror(VLOOKUP(C648,'ФИО'!A:B,2,0),"учётный код не найден")</f>
        <v>Пономарев Юрий Андреевич</v>
      </c>
      <c r="T648" s="13" t="str">
        <f t="shared" si="2"/>
        <v>ПУ 910-00134.B (A96 модуль 2CAN+2LIN)</v>
      </c>
      <c r="U648" s="8">
        <v>0.0</v>
      </c>
      <c r="V648" s="8">
        <v>0.0</v>
      </c>
      <c r="W648" s="17" t="str">
        <f t="shared" si="70"/>
        <v>Данные не заполены</v>
      </c>
      <c r="X648" s="14" t="str">
        <f t="shared" si="31"/>
        <v>Данные не заполены</v>
      </c>
      <c r="Y648" s="15">
        <f t="shared" si="71"/>
        <v>0</v>
      </c>
    </row>
    <row r="649" hidden="1">
      <c r="A649" s="7">
        <v>44116.818850185184</v>
      </c>
      <c r="B649" s="8" t="s">
        <v>127</v>
      </c>
      <c r="C649" s="8">
        <v>22574.0</v>
      </c>
      <c r="D649" s="8" t="s">
        <v>27</v>
      </c>
      <c r="E649" s="8" t="s">
        <v>28</v>
      </c>
      <c r="G649" s="8">
        <v>3750.0</v>
      </c>
      <c r="H649" s="8" t="s">
        <v>45</v>
      </c>
      <c r="K649" s="8" t="s">
        <v>46</v>
      </c>
      <c r="L649" s="8" t="s">
        <v>31</v>
      </c>
      <c r="M649" s="8" t="s">
        <v>204</v>
      </c>
      <c r="N649" s="8"/>
      <c r="O649" s="8"/>
      <c r="P649" s="9">
        <v>44116.0</v>
      </c>
      <c r="Q649" s="10">
        <v>0.020833333335758653</v>
      </c>
      <c r="R649" s="11" t="str">
        <f t="shared" si="1"/>
        <v>Выполнение дополнительных работ на линии</v>
      </c>
      <c r="S649" s="16" t="str">
        <f>iferror(VLOOKUP(C649,'ФИО'!A:B,2,0),"учётный код не найден")</f>
        <v>Шапенков Геннадий Михайлович</v>
      </c>
      <c r="T649" s="11" t="str">
        <f t="shared" si="2"/>
        <v>ПУ 910-00349.A "Печатный узел основного блока E96 4LIN"</v>
      </c>
      <c r="U649" s="8">
        <v>9.0</v>
      </c>
      <c r="V649" s="8">
        <v>0.0</v>
      </c>
      <c r="W649" s="17" t="str">
        <f t="shared" si="70"/>
        <v>Данные не заполены</v>
      </c>
      <c r="X649" s="14" t="str">
        <f t="shared" si="31"/>
        <v>Данные не заполены</v>
      </c>
      <c r="Y649" s="15">
        <f t="shared" si="71"/>
        <v>0</v>
      </c>
    </row>
    <row r="650" hidden="1">
      <c r="A650" s="7">
        <v>44124.81875611111</v>
      </c>
      <c r="B650" s="8" t="s">
        <v>127</v>
      </c>
      <c r="C650" s="8">
        <v>22574.0</v>
      </c>
      <c r="D650" s="8" t="s">
        <v>27</v>
      </c>
      <c r="E650" s="8" t="s">
        <v>28</v>
      </c>
      <c r="G650" s="8">
        <v>3804.0</v>
      </c>
      <c r="H650" s="8" t="s">
        <v>45</v>
      </c>
      <c r="K650" s="8" t="s">
        <v>52</v>
      </c>
      <c r="L650" s="8" t="s">
        <v>31</v>
      </c>
      <c r="M650" s="8" t="s">
        <v>34</v>
      </c>
      <c r="P650" s="9">
        <v>44124.0</v>
      </c>
      <c r="Q650" s="10">
        <v>0.04166666666424135</v>
      </c>
      <c r="R650" s="11" t="str">
        <f t="shared" si="1"/>
        <v>Выполнение дополнительных работ на линии</v>
      </c>
      <c r="S650" s="16" t="str">
        <f>iferror(VLOOKUP(C650,'ФИО'!A:B,2,0),"учётный код не найден")</f>
        <v>Шапенков Геннадий Михайлович</v>
      </c>
      <c r="T650" s="11" t="str">
        <f t="shared" si="2"/>
        <v>М17V2 (900-00018.D)_910-00023.H и ПУ 910-00012.I</v>
      </c>
      <c r="U650" s="8">
        <v>0.0</v>
      </c>
      <c r="V650" s="8">
        <v>0.0</v>
      </c>
      <c r="W650" s="17" t="str">
        <f t="shared" si="70"/>
        <v>Данные не заполены</v>
      </c>
      <c r="X650" s="14" t="str">
        <f t="shared" si="31"/>
        <v>Данные не заполены</v>
      </c>
      <c r="Y650" s="15">
        <f t="shared" si="71"/>
        <v>0</v>
      </c>
    </row>
    <row r="651" hidden="1">
      <c r="A651" s="7">
        <v>44133.82331391204</v>
      </c>
      <c r="B651" s="8" t="s">
        <v>127</v>
      </c>
      <c r="C651" s="8">
        <v>22574.0</v>
      </c>
      <c r="D651" s="8" t="s">
        <v>27</v>
      </c>
      <c r="E651" s="8" t="s">
        <v>28</v>
      </c>
      <c r="G651" s="8">
        <v>3621.0</v>
      </c>
      <c r="H651" s="8" t="s">
        <v>29</v>
      </c>
      <c r="I651" s="8" t="s">
        <v>54</v>
      </c>
      <c r="L651" s="8" t="s">
        <v>31</v>
      </c>
      <c r="M651" s="8" t="s">
        <v>34</v>
      </c>
      <c r="P651" s="9">
        <v>44133.0</v>
      </c>
      <c r="Q651" s="10">
        <v>0.09722222221898846</v>
      </c>
      <c r="R651" s="11" t="str">
        <f t="shared" si="1"/>
        <v>Выполнение дополнительных работ на линии</v>
      </c>
      <c r="S651" s="16" t="str">
        <f>iferror(VLOOKUP(C651,'ФИО'!A:B,2,0),"учётный код не найден")</f>
        <v>Шапенков Геннадий Михайлович</v>
      </c>
      <c r="T651" s="11" t="str">
        <f t="shared" si="2"/>
        <v>915-00121.A - Процессорный модуль РСЕН.469555.027 (КНС Групп)</v>
      </c>
      <c r="U651" s="8">
        <v>0.0</v>
      </c>
      <c r="V651" s="8">
        <v>0.0</v>
      </c>
      <c r="W651" s="17" t="str">
        <f t="shared" si="70"/>
        <v>Данные не заполены</v>
      </c>
      <c r="X651" s="14" t="str">
        <f t="shared" si="31"/>
        <v>Данные не заполены</v>
      </c>
      <c r="Y651" s="15">
        <f t="shared" si="71"/>
        <v>0</v>
      </c>
    </row>
    <row r="652" hidden="1">
      <c r="A652" s="7">
        <v>44108.8261412963</v>
      </c>
      <c r="B652" s="8" t="s">
        <v>127</v>
      </c>
      <c r="C652" s="8">
        <v>22574.0</v>
      </c>
      <c r="D652" s="8" t="s">
        <v>27</v>
      </c>
      <c r="E652" s="8" t="s">
        <v>39</v>
      </c>
      <c r="G652" s="8">
        <v>3233.0</v>
      </c>
      <c r="H652" s="8" t="s">
        <v>29</v>
      </c>
      <c r="I652" s="8" t="s">
        <v>60</v>
      </c>
      <c r="L652" s="8" t="s">
        <v>31</v>
      </c>
      <c r="M652" s="8" t="s">
        <v>34</v>
      </c>
      <c r="N652" s="8"/>
      <c r="O652" s="8"/>
      <c r="P652" s="9">
        <v>44108.0</v>
      </c>
      <c r="Q652" s="10">
        <v>0.08333333333575865</v>
      </c>
      <c r="R652" s="11" t="str">
        <f t="shared" si="1"/>
        <v>Зарядка питателей Prim</v>
      </c>
      <c r="S652" s="16" t="str">
        <f>iferror(VLOOKUP(C652,'ФИО'!A:B,2,0),"учётный код не найден")</f>
        <v>Шапенков Геннадий Михайлович</v>
      </c>
      <c r="T652" s="11" t="str">
        <f t="shared" si="2"/>
        <v>915-00102.A - ПБОК-2В АСЛБ.465285.013 (Квант)</v>
      </c>
      <c r="U652" s="8">
        <v>0.0</v>
      </c>
      <c r="V652" s="8">
        <v>0.0</v>
      </c>
      <c r="W652" s="21" t="str">
        <f t="shared" si="70"/>
        <v>Данные не заполены</v>
      </c>
      <c r="X652" s="15" t="str">
        <f t="shared" si="31"/>
        <v>Данные не заполены</v>
      </c>
      <c r="Y652" s="15">
        <f t="shared" si="71"/>
        <v>0</v>
      </c>
    </row>
    <row r="653" hidden="1">
      <c r="A653" s="7">
        <v>44117.8144353588</v>
      </c>
      <c r="B653" s="8" t="s">
        <v>127</v>
      </c>
      <c r="C653" s="8">
        <v>22574.0</v>
      </c>
      <c r="D653" s="8" t="s">
        <v>27</v>
      </c>
      <c r="E653" s="8" t="s">
        <v>39</v>
      </c>
      <c r="G653" s="8">
        <v>3622.0</v>
      </c>
      <c r="H653" s="8" t="s">
        <v>29</v>
      </c>
      <c r="I653" s="8" t="s">
        <v>90</v>
      </c>
      <c r="L653" s="8" t="s">
        <v>31</v>
      </c>
      <c r="M653" s="8" t="s">
        <v>34</v>
      </c>
      <c r="P653" s="9">
        <v>44117.0</v>
      </c>
      <c r="Q653" s="10">
        <v>0.08333333333575865</v>
      </c>
      <c r="R653" s="11" t="str">
        <f t="shared" si="1"/>
        <v>Зарядка питателей Prim</v>
      </c>
      <c r="S653" s="16" t="str">
        <f>iferror(VLOOKUP(C653,'ФИО'!A:B,2,0),"учётный код не найден")</f>
        <v>Шапенков Геннадий Михайлович</v>
      </c>
      <c r="T653" s="11" t="str">
        <f t="shared" si="2"/>
        <v>915-00124.A - Tioga Pass_v1.1 (Гагар.ин)</v>
      </c>
      <c r="U653" s="8">
        <v>60.0</v>
      </c>
      <c r="V653" s="8">
        <v>0.0</v>
      </c>
      <c r="W653" s="17">
        <v>660.0</v>
      </c>
      <c r="X653" s="14">
        <f t="shared" si="31"/>
        <v>0.5</v>
      </c>
      <c r="Y653" s="15">
        <f t="shared" si="71"/>
        <v>0</v>
      </c>
    </row>
    <row r="654" hidden="1">
      <c r="A654" s="7">
        <v>44124.817210127316</v>
      </c>
      <c r="B654" s="8" t="s">
        <v>127</v>
      </c>
      <c r="C654" s="8">
        <v>22574.0</v>
      </c>
      <c r="D654" s="8" t="s">
        <v>27</v>
      </c>
      <c r="E654" s="8" t="s">
        <v>39</v>
      </c>
      <c r="G654" s="8">
        <v>3804.0</v>
      </c>
      <c r="H654" s="8" t="s">
        <v>45</v>
      </c>
      <c r="K654" s="8" t="s">
        <v>52</v>
      </c>
      <c r="L654" s="8" t="s">
        <v>31</v>
      </c>
      <c r="M654" s="8" t="s">
        <v>34</v>
      </c>
      <c r="P654" s="9">
        <v>44124.0</v>
      </c>
      <c r="Q654" s="10">
        <v>0.04166666666424135</v>
      </c>
      <c r="R654" s="11" t="str">
        <f t="shared" si="1"/>
        <v>Зарядка питателей Prim</v>
      </c>
      <c r="S654" s="16" t="str">
        <f>iferror(VLOOKUP(C654,'ФИО'!A:B,2,0),"учётный код не найден")</f>
        <v>Шапенков Геннадий Михайлович</v>
      </c>
      <c r="T654" s="11" t="str">
        <f t="shared" si="2"/>
        <v>М17V2 (900-00018.D)_910-00023.H и ПУ 910-00012.I</v>
      </c>
      <c r="U654" s="8">
        <v>0.0</v>
      </c>
      <c r="V654" s="8">
        <v>0.0</v>
      </c>
      <c r="W654" s="17" t="str">
        <f t="shared" ref="W654:W663" si="72">IFERROR((((38412/(ifs(O654&lt;35,35,O654&gt;34,O654)/N654)*0.7))),"Данные не заполены")</f>
        <v>Данные не заполены</v>
      </c>
      <c r="X654" s="14" t="str">
        <f t="shared" si="31"/>
        <v>Данные не заполены</v>
      </c>
      <c r="Y654" s="15">
        <f t="shared" si="71"/>
        <v>0</v>
      </c>
    </row>
    <row r="655" hidden="1">
      <c r="A655" s="7">
        <v>44132.818267731476</v>
      </c>
      <c r="B655" s="8" t="s">
        <v>127</v>
      </c>
      <c r="C655" s="8">
        <v>22574.0</v>
      </c>
      <c r="D655" s="8" t="s">
        <v>27</v>
      </c>
      <c r="E655" s="8" t="s">
        <v>39</v>
      </c>
      <c r="G655" s="8">
        <v>3802.0</v>
      </c>
      <c r="H655" s="8" t="s">
        <v>45</v>
      </c>
      <c r="K655" s="8" t="s">
        <v>120</v>
      </c>
      <c r="L655" s="8" t="s">
        <v>31</v>
      </c>
      <c r="M655" s="8" t="s">
        <v>34</v>
      </c>
      <c r="P655" s="9">
        <v>44132.0</v>
      </c>
      <c r="Q655" s="10">
        <v>0.04166666666424135</v>
      </c>
      <c r="R655" s="11" t="str">
        <f t="shared" si="1"/>
        <v>Зарядка питателей Prim</v>
      </c>
      <c r="S655" s="16" t="str">
        <f>iferror(VLOOKUP(C655,'ФИО'!A:B,2,0),"учётный код не найден")</f>
        <v>Шапенков Геннадий Михайлович</v>
      </c>
      <c r="T655" s="11" t="str">
        <f t="shared" si="2"/>
        <v>М15ECO (900-00030.С) 910-00034.C/910-00041.C</v>
      </c>
      <c r="U655" s="8">
        <v>0.0</v>
      </c>
      <c r="V655" s="8">
        <v>0.0</v>
      </c>
      <c r="W655" s="17" t="str">
        <f t="shared" si="72"/>
        <v>Данные не заполены</v>
      </c>
      <c r="X655" s="14" t="str">
        <f t="shared" si="31"/>
        <v>Данные не заполены</v>
      </c>
      <c r="Y655" s="15">
        <f t="shared" si="71"/>
        <v>0</v>
      </c>
    </row>
    <row r="656" hidden="1">
      <c r="A656" s="7">
        <v>44132.82142579861</v>
      </c>
      <c r="B656" s="8" t="s">
        <v>127</v>
      </c>
      <c r="C656" s="8">
        <v>22574.0</v>
      </c>
      <c r="D656" s="8" t="s">
        <v>27</v>
      </c>
      <c r="E656" s="8" t="s">
        <v>40</v>
      </c>
      <c r="G656" s="8">
        <v>3621.0</v>
      </c>
      <c r="H656" s="8" t="s">
        <v>29</v>
      </c>
      <c r="I656" s="8" t="s">
        <v>54</v>
      </c>
      <c r="L656" s="8" t="s">
        <v>31</v>
      </c>
      <c r="M656" s="8" t="s">
        <v>34</v>
      </c>
      <c r="P656" s="9">
        <v>44132.0</v>
      </c>
      <c r="Q656" s="10">
        <v>0.0625</v>
      </c>
      <c r="R656" s="11" t="str">
        <f t="shared" si="1"/>
        <v>Зарядка питателей Sec</v>
      </c>
      <c r="S656" s="16" t="str">
        <f>iferror(VLOOKUP(C656,'ФИО'!A:B,2,0),"учётный код не найден")</f>
        <v>Шапенков Геннадий Михайлович</v>
      </c>
      <c r="T656" s="11" t="str">
        <f t="shared" si="2"/>
        <v>915-00121.A - Процессорный модуль РСЕН.469555.027 (КНС Групп)</v>
      </c>
      <c r="U656" s="8">
        <v>0.0</v>
      </c>
      <c r="V656" s="8">
        <v>0.0</v>
      </c>
      <c r="W656" s="17" t="str">
        <f t="shared" si="72"/>
        <v>Данные не заполены</v>
      </c>
      <c r="X656" s="14" t="str">
        <f t="shared" si="31"/>
        <v>Данные не заполены</v>
      </c>
      <c r="Y656" s="15">
        <f t="shared" si="71"/>
        <v>0</v>
      </c>
    </row>
    <row r="657" ht="23.25" hidden="1" customHeight="1">
      <c r="A657" s="7">
        <v>44113.33277165509</v>
      </c>
      <c r="B657" s="8" t="s">
        <v>126</v>
      </c>
      <c r="C657" s="8">
        <v>22063.0</v>
      </c>
      <c r="D657" s="8" t="s">
        <v>69</v>
      </c>
      <c r="F657" s="8" t="s">
        <v>106</v>
      </c>
      <c r="G657" s="8">
        <v>3579.0</v>
      </c>
      <c r="H657" s="8" t="s">
        <v>29</v>
      </c>
      <c r="I657" s="8" t="s">
        <v>42</v>
      </c>
      <c r="L657" s="8" t="s">
        <v>31</v>
      </c>
      <c r="M657" s="8" t="s">
        <v>34</v>
      </c>
      <c r="N657" s="8"/>
      <c r="O657" s="8"/>
      <c r="P657" s="9">
        <v>44112.0</v>
      </c>
      <c r="Q657" s="10">
        <v>0.04166666666424135</v>
      </c>
      <c r="R657" s="11" t="str">
        <f t="shared" si="1"/>
        <v>Настройка SEHO PRI</v>
      </c>
      <c r="S657" s="16" t="str">
        <f>iferror(VLOOKUP(C657,'ФИО'!A:B,2,0),"учётный код не найден")</f>
        <v>Белоглазов Сергей Анатольевич</v>
      </c>
      <c r="T657" s="13" t="str">
        <f t="shared" si="2"/>
        <v>915-00070.A - Модуль телематики ТМ1 v3 (Сознательные машины)</v>
      </c>
      <c r="U657" s="8">
        <v>1.0</v>
      </c>
      <c r="V657" s="8">
        <v>0.0</v>
      </c>
      <c r="W657" s="21" t="str">
        <f t="shared" si="72"/>
        <v>Данные не заполены</v>
      </c>
      <c r="X657" s="15" t="str">
        <f t="shared" si="31"/>
        <v>Данные не заполены</v>
      </c>
      <c r="Y657" s="15">
        <f t="shared" si="71"/>
        <v>0</v>
      </c>
    </row>
    <row r="658" ht="23.25" hidden="1" customHeight="1">
      <c r="A658" s="7">
        <v>44112.35339575232</v>
      </c>
      <c r="B658" s="8" t="s">
        <v>126</v>
      </c>
      <c r="C658" s="8">
        <v>22063.0</v>
      </c>
      <c r="D658" s="8" t="s">
        <v>69</v>
      </c>
      <c r="F658" s="8" t="s">
        <v>106</v>
      </c>
      <c r="G658" s="8">
        <v>3232.0</v>
      </c>
      <c r="H658" s="8" t="s">
        <v>29</v>
      </c>
      <c r="I658" s="8" t="s">
        <v>63</v>
      </c>
      <c r="L658" s="8" t="s">
        <v>31</v>
      </c>
      <c r="M658" s="8" t="s">
        <v>34</v>
      </c>
      <c r="N658" s="8"/>
      <c r="O658" s="8"/>
      <c r="P658" s="9">
        <v>44111.0</v>
      </c>
      <c r="Q658" s="10">
        <v>0.04166666666424135</v>
      </c>
      <c r="R658" s="11" t="str">
        <f t="shared" si="1"/>
        <v>Настройка SEHO PRI</v>
      </c>
      <c r="S658" s="16" t="str">
        <f>iferror(VLOOKUP(C658,'ФИО'!A:B,2,0),"учётный код не найден")</f>
        <v>Белоглазов Сергей Анатольевич</v>
      </c>
      <c r="T658" s="13" t="str">
        <f t="shared" si="2"/>
        <v>915-00103.A - ПБОК-1В АСЛБ.465285.012 (Квант)</v>
      </c>
      <c r="U658" s="8">
        <v>0.0</v>
      </c>
      <c r="V658" s="8">
        <v>0.0</v>
      </c>
      <c r="W658" s="21" t="str">
        <f t="shared" si="72"/>
        <v>Данные не заполены</v>
      </c>
      <c r="X658" s="15" t="str">
        <f t="shared" si="31"/>
        <v>Данные не заполены</v>
      </c>
      <c r="Y658" s="15">
        <f t="shared" si="71"/>
        <v>0</v>
      </c>
    </row>
    <row r="659" hidden="1">
      <c r="A659" s="7">
        <v>44133.820831770834</v>
      </c>
      <c r="B659" s="8" t="s">
        <v>127</v>
      </c>
      <c r="C659" s="8">
        <v>22574.0</v>
      </c>
      <c r="D659" s="8" t="s">
        <v>27</v>
      </c>
      <c r="E659" s="8" t="s">
        <v>40</v>
      </c>
      <c r="G659" s="8">
        <v>3621.0</v>
      </c>
      <c r="H659" s="8" t="s">
        <v>29</v>
      </c>
      <c r="I659" s="8" t="s">
        <v>54</v>
      </c>
      <c r="L659" s="8" t="s">
        <v>31</v>
      </c>
      <c r="M659" s="8" t="s">
        <v>34</v>
      </c>
      <c r="P659" s="9">
        <v>44133.0</v>
      </c>
      <c r="Q659" s="10">
        <v>0.25</v>
      </c>
      <c r="R659" s="11" t="str">
        <f t="shared" si="1"/>
        <v>Зарядка питателей Sec</v>
      </c>
      <c r="S659" s="16" t="str">
        <f>iferror(VLOOKUP(C659,'ФИО'!A:B,2,0),"учётный код не найден")</f>
        <v>Шапенков Геннадий Михайлович</v>
      </c>
      <c r="T659" s="11" t="str">
        <f t="shared" si="2"/>
        <v>915-00121.A - Процессорный модуль РСЕН.469555.027 (КНС Групп)</v>
      </c>
      <c r="U659" s="8">
        <v>0.0</v>
      </c>
      <c r="V659" s="8">
        <v>0.0</v>
      </c>
      <c r="W659" s="17" t="str">
        <f t="shared" si="72"/>
        <v>Данные не заполены</v>
      </c>
      <c r="X659" s="14" t="str">
        <f t="shared" si="31"/>
        <v>Данные не заполены</v>
      </c>
      <c r="Y659" s="15">
        <f t="shared" si="71"/>
        <v>0</v>
      </c>
    </row>
    <row r="660" ht="21.0" hidden="1" customHeight="1">
      <c r="A660" s="7">
        <v>44108.82359078704</v>
      </c>
      <c r="B660" s="8" t="s">
        <v>127</v>
      </c>
      <c r="C660" s="8">
        <v>22574.0</v>
      </c>
      <c r="D660" s="8" t="s">
        <v>27</v>
      </c>
      <c r="E660" s="8" t="s">
        <v>57</v>
      </c>
      <c r="G660" s="8">
        <v>3233.0</v>
      </c>
      <c r="H660" s="8" t="s">
        <v>29</v>
      </c>
      <c r="I660" s="8" t="s">
        <v>60</v>
      </c>
      <c r="L660" s="8" t="s">
        <v>31</v>
      </c>
      <c r="M660" s="8" t="s">
        <v>34</v>
      </c>
      <c r="N660" s="8"/>
      <c r="O660" s="8"/>
      <c r="P660" s="9">
        <v>44108.0</v>
      </c>
      <c r="Q660" s="10">
        <v>0.020833333335758653</v>
      </c>
      <c r="R660" s="11" t="str">
        <f t="shared" si="1"/>
        <v>Настройка линии Primary</v>
      </c>
      <c r="S660" s="16" t="str">
        <f>iferror(VLOOKUP(C660,'ФИО'!A:B,2,0),"учётный код не найден")</f>
        <v>Шапенков Геннадий Михайлович</v>
      </c>
      <c r="T660" s="11" t="str">
        <f t="shared" si="2"/>
        <v>915-00102.A - ПБОК-2В АСЛБ.465285.013 (Квант)</v>
      </c>
      <c r="U660" s="8">
        <v>0.0</v>
      </c>
      <c r="V660" s="8">
        <v>0.0</v>
      </c>
      <c r="W660" s="21" t="str">
        <f t="shared" si="72"/>
        <v>Данные не заполены</v>
      </c>
      <c r="X660" s="15" t="str">
        <f t="shared" si="31"/>
        <v>Данные не заполены</v>
      </c>
      <c r="Y660" s="15">
        <f t="shared" si="71"/>
        <v>0</v>
      </c>
    </row>
    <row r="661" hidden="1">
      <c r="A661" s="7">
        <v>44108.82427614584</v>
      </c>
      <c r="B661" s="8" t="s">
        <v>127</v>
      </c>
      <c r="C661" s="8">
        <v>22574.0</v>
      </c>
      <c r="D661" s="8" t="s">
        <v>27</v>
      </c>
      <c r="E661" s="8" t="s">
        <v>57</v>
      </c>
      <c r="G661" s="8">
        <v>3233.0</v>
      </c>
      <c r="H661" s="8" t="s">
        <v>29</v>
      </c>
      <c r="I661" s="8" t="s">
        <v>60</v>
      </c>
      <c r="L661" s="8" t="s">
        <v>31</v>
      </c>
      <c r="M661" s="8" t="s">
        <v>34</v>
      </c>
      <c r="N661" s="8"/>
      <c r="O661" s="8"/>
      <c r="P661" s="9">
        <v>44108.0</v>
      </c>
      <c r="Q661" s="10">
        <v>0.020833333335758653</v>
      </c>
      <c r="R661" s="11" t="str">
        <f t="shared" si="1"/>
        <v>Настройка линии Primary</v>
      </c>
      <c r="S661" s="16" t="str">
        <f>iferror(VLOOKUP(C661,'ФИО'!A:B,2,0),"учётный код не найден")</f>
        <v>Шапенков Геннадий Михайлович</v>
      </c>
      <c r="T661" s="11" t="str">
        <f t="shared" si="2"/>
        <v>915-00102.A - ПБОК-2В АСЛБ.465285.013 (Квант)</v>
      </c>
      <c r="U661" s="8">
        <v>0.0</v>
      </c>
      <c r="V661" s="8">
        <v>0.0</v>
      </c>
      <c r="W661" s="21" t="str">
        <f t="shared" si="72"/>
        <v>Данные не заполены</v>
      </c>
      <c r="X661" s="15" t="str">
        <f t="shared" si="31"/>
        <v>Данные не заполены</v>
      </c>
      <c r="Y661" s="15">
        <f t="shared" si="71"/>
        <v>0</v>
      </c>
    </row>
    <row r="662" hidden="1">
      <c r="A662" s="7">
        <v>44120.856532488426</v>
      </c>
      <c r="B662" s="8" t="s">
        <v>126</v>
      </c>
      <c r="C662" s="8">
        <v>22063.0</v>
      </c>
      <c r="D662" s="8" t="s">
        <v>69</v>
      </c>
      <c r="F662" s="8" t="s">
        <v>106</v>
      </c>
      <c r="G662" s="8">
        <v>3750.0</v>
      </c>
      <c r="H662" s="8" t="s">
        <v>9</v>
      </c>
      <c r="J662" s="8" t="s">
        <v>46</v>
      </c>
      <c r="L662" s="8" t="s">
        <v>31</v>
      </c>
      <c r="M662" s="8" t="s">
        <v>205</v>
      </c>
      <c r="P662" s="9">
        <v>44119.0</v>
      </c>
      <c r="Q662" s="10">
        <v>0.08333333333575865</v>
      </c>
      <c r="R662" s="11" t="str">
        <f t="shared" si="1"/>
        <v>Настройка SEHO PRI</v>
      </c>
      <c r="S662" s="16" t="str">
        <f>iferror(VLOOKUP(C662,'ФИО'!A:B,2,0),"учётный код не найден")</f>
        <v>Белоглазов Сергей Анатольевич</v>
      </c>
      <c r="T662" s="13" t="str">
        <f t="shared" si="2"/>
        <v>ПУ 910-00349.A "Печатный узел основного блока E96 4LIN"</v>
      </c>
      <c r="U662" s="8">
        <v>0.0</v>
      </c>
      <c r="V662" s="8">
        <v>0.0</v>
      </c>
      <c r="W662" s="17" t="str">
        <f t="shared" si="72"/>
        <v>Данные не заполены</v>
      </c>
      <c r="X662" s="14" t="str">
        <f t="shared" si="31"/>
        <v>Данные не заполены</v>
      </c>
    </row>
    <row r="663" hidden="1">
      <c r="A663" s="7">
        <v>44131.76106447917</v>
      </c>
      <c r="B663" s="8" t="s">
        <v>87</v>
      </c>
      <c r="C663" s="8">
        <v>20015.0</v>
      </c>
      <c r="D663" s="8" t="s">
        <v>69</v>
      </c>
      <c r="F663" s="8" t="s">
        <v>116</v>
      </c>
      <c r="G663" s="8">
        <v>3237.0</v>
      </c>
      <c r="H663" s="8" t="s">
        <v>29</v>
      </c>
      <c r="I663" s="8" t="s">
        <v>56</v>
      </c>
      <c r="L663" s="8" t="s">
        <v>31</v>
      </c>
      <c r="M663" s="8" t="s">
        <v>34</v>
      </c>
      <c r="P663" s="9">
        <v>44131.0</v>
      </c>
      <c r="Q663" s="10">
        <v>0.020833333335758653</v>
      </c>
      <c r="R663" s="11" t="str">
        <f t="shared" si="1"/>
        <v>Написание программы для SEHO SEC</v>
      </c>
      <c r="S663" s="12" t="str">
        <f>iferror(VLOOKUP(C663,'ФИО'!A:B,2,0),"учётный код не найден")</f>
        <v>Ельцов Андрей Николаевич</v>
      </c>
      <c r="T663" s="13" t="str">
        <f t="shared" si="2"/>
        <v>915-00098.А - ПКБУИК-38 АСЛБ.465122.020 (Квант)</v>
      </c>
      <c r="U663" s="8">
        <v>0.0</v>
      </c>
      <c r="V663" s="8">
        <v>0.0</v>
      </c>
      <c r="W663" s="17" t="str">
        <f t="shared" si="72"/>
        <v>Данные не заполены</v>
      </c>
      <c r="X663" s="14" t="str">
        <f t="shared" si="31"/>
        <v>Данные не заполены</v>
      </c>
      <c r="Y663" s="15">
        <f>iferror((V663/if(U663=0,1,U663)),0)</f>
        <v>0</v>
      </c>
    </row>
    <row r="664" hidden="1">
      <c r="A664" s="7">
        <v>44121.34317815972</v>
      </c>
      <c r="B664" s="8" t="s">
        <v>126</v>
      </c>
      <c r="C664" s="8">
        <v>22063.0</v>
      </c>
      <c r="D664" s="8" t="s">
        <v>69</v>
      </c>
      <c r="F664" s="8" t="s">
        <v>106</v>
      </c>
      <c r="G664" s="8">
        <v>3579.0</v>
      </c>
      <c r="H664" s="8" t="s">
        <v>29</v>
      </c>
      <c r="I664" s="8" t="s">
        <v>42</v>
      </c>
      <c r="L664" s="8" t="s">
        <v>31</v>
      </c>
      <c r="M664" s="8" t="s">
        <v>34</v>
      </c>
      <c r="P664" s="9">
        <v>44120.0</v>
      </c>
      <c r="Q664" s="10">
        <v>0.04166666666424135</v>
      </c>
      <c r="R664" s="11" t="str">
        <f t="shared" si="1"/>
        <v>Настройка SEHO PRI</v>
      </c>
      <c r="S664" s="16" t="str">
        <f>iferror(VLOOKUP(C664,'ФИО'!A:B,2,0),"учётный код не найден")</f>
        <v>Белоглазов Сергей Анатольевич</v>
      </c>
      <c r="T664" s="13" t="str">
        <f t="shared" si="2"/>
        <v>915-00070.A - Модуль телематики ТМ1 v3 (Сознательные машины)</v>
      </c>
      <c r="U664" s="8">
        <v>0.0</v>
      </c>
      <c r="V664" s="8">
        <v>0.0</v>
      </c>
    </row>
    <row r="665" hidden="1">
      <c r="A665" s="7">
        <v>44128.32317081018</v>
      </c>
      <c r="B665" s="8" t="s">
        <v>126</v>
      </c>
      <c r="C665" s="8">
        <v>22063.0</v>
      </c>
      <c r="D665" s="8" t="s">
        <v>69</v>
      </c>
      <c r="F665" s="8" t="s">
        <v>106</v>
      </c>
      <c r="G665" s="8">
        <v>3667.0</v>
      </c>
      <c r="H665" s="8" t="s">
        <v>45</v>
      </c>
      <c r="K665" s="8" t="s">
        <v>155</v>
      </c>
      <c r="L665" s="8" t="s">
        <v>31</v>
      </c>
      <c r="M665" s="8" t="s">
        <v>34</v>
      </c>
      <c r="P665" s="9">
        <v>44127.0</v>
      </c>
      <c r="Q665" s="10">
        <v>0.04166666666424135</v>
      </c>
      <c r="R665" s="11" t="str">
        <f t="shared" si="1"/>
        <v>Настройка SEHO PRI</v>
      </c>
      <c r="S665" s="16" t="str">
        <f>iferror(VLOOKUP(C665,'ФИО'!A:B,2,0),"учётный код не найден")</f>
        <v>Белоглазов Сергей Анатольевич</v>
      </c>
      <c r="T665" s="13" t="str">
        <f t="shared" si="2"/>
        <v>ПУ N11 910-00188.B</v>
      </c>
      <c r="U665" s="8">
        <v>1.0</v>
      </c>
      <c r="V665" s="8">
        <v>0.0</v>
      </c>
    </row>
    <row r="666" hidden="1">
      <c r="A666" s="7">
        <v>44129.31801534722</v>
      </c>
      <c r="B666" s="8" t="s">
        <v>126</v>
      </c>
      <c r="C666" s="8">
        <v>22063.0</v>
      </c>
      <c r="D666" s="8" t="s">
        <v>69</v>
      </c>
      <c r="F666" s="8" t="s">
        <v>106</v>
      </c>
      <c r="G666" s="8">
        <v>3047.0</v>
      </c>
      <c r="H666" s="8" t="s">
        <v>29</v>
      </c>
      <c r="I666" s="8" t="s">
        <v>77</v>
      </c>
      <c r="L666" s="8" t="s">
        <v>31</v>
      </c>
      <c r="M666" s="8" t="s">
        <v>34</v>
      </c>
      <c r="P666" s="9">
        <v>44128.0</v>
      </c>
      <c r="Q666" s="10">
        <v>0.04166666666424135</v>
      </c>
      <c r="R666" s="11" t="str">
        <f t="shared" si="1"/>
        <v>Настройка SEHO PRI</v>
      </c>
      <c r="S666" s="12" t="str">
        <f>iferror(VLOOKUP(C666,'ФИО'!A:B,2,0),"учётный код не найден")</f>
        <v>Белоглазов Сергей Анатольевич</v>
      </c>
      <c r="T666" s="13" t="str">
        <f t="shared" si="2"/>
        <v>915-00081.A-Модуль Трик8 (Кибертех)</v>
      </c>
      <c r="U666" s="8">
        <v>1.0</v>
      </c>
      <c r="V666" s="8">
        <v>0.0</v>
      </c>
      <c r="W666" s="17" t="str">
        <f t="shared" ref="W666:W668" si="73">IFERROR((((38412/(ifs(O666&lt;35,35,O666&gt;34,O666)/N666)*0.7))),"Данные не заполены")</f>
        <v>Данные не заполены</v>
      </c>
      <c r="X666" s="14" t="str">
        <f t="shared" ref="X666:X776" si="74">IFERROR((((V666+U666)/Q666)/24)/(W666/11),"Данные не заполены")</f>
        <v>Данные не заполены</v>
      </c>
      <c r="Y666" s="15">
        <f t="shared" ref="Y666:Y776" si="75">iferror((V666/if(U666=0,1,U666)),0)</f>
        <v>0</v>
      </c>
    </row>
    <row r="667" hidden="1">
      <c r="A667" s="7">
        <v>44112.348343125</v>
      </c>
      <c r="B667" s="8" t="s">
        <v>126</v>
      </c>
      <c r="C667" s="8">
        <v>22063.0</v>
      </c>
      <c r="D667" s="8" t="s">
        <v>69</v>
      </c>
      <c r="F667" s="8" t="s">
        <v>79</v>
      </c>
      <c r="G667" s="8">
        <v>3233.0</v>
      </c>
      <c r="H667" s="8" t="s">
        <v>29</v>
      </c>
      <c r="I667" s="8" t="s">
        <v>60</v>
      </c>
      <c r="L667" s="8" t="s">
        <v>31</v>
      </c>
      <c r="M667" s="8" t="s">
        <v>34</v>
      </c>
      <c r="N667" s="8"/>
      <c r="O667" s="8"/>
      <c r="P667" s="9">
        <v>44111.0</v>
      </c>
      <c r="Q667" s="10">
        <v>0.04166666666424135</v>
      </c>
      <c r="R667" s="11" t="str">
        <f t="shared" si="1"/>
        <v>Настройка SEHO SEC</v>
      </c>
      <c r="S667" s="16" t="str">
        <f>iferror(VLOOKUP(C667,'ФИО'!A:B,2,0),"учётный код не найден")</f>
        <v>Белоглазов Сергей Анатольевич</v>
      </c>
      <c r="T667" s="13" t="str">
        <f t="shared" si="2"/>
        <v>915-00102.A - ПБОК-2В АСЛБ.465285.013 (Квант)</v>
      </c>
      <c r="U667" s="8">
        <v>0.0</v>
      </c>
      <c r="V667" s="8">
        <v>0.0</v>
      </c>
      <c r="W667" s="21" t="str">
        <f t="shared" si="73"/>
        <v>Данные не заполены</v>
      </c>
      <c r="X667" s="15" t="str">
        <f t="shared" si="74"/>
        <v>Данные не заполены</v>
      </c>
      <c r="Y667" s="15">
        <f t="shared" si="75"/>
        <v>0</v>
      </c>
    </row>
    <row r="668" hidden="1">
      <c r="A668" s="7">
        <v>44118.310034814815</v>
      </c>
      <c r="B668" s="8" t="s">
        <v>94</v>
      </c>
      <c r="C668" s="8">
        <v>60000.0</v>
      </c>
      <c r="D668" s="8" t="s">
        <v>69</v>
      </c>
      <c r="F668" s="8" t="s">
        <v>72</v>
      </c>
      <c r="G668" s="8">
        <v>3232.0</v>
      </c>
      <c r="H668" s="8" t="s">
        <v>29</v>
      </c>
      <c r="I668" s="8" t="s">
        <v>63</v>
      </c>
      <c r="L668" s="8" t="s">
        <v>37</v>
      </c>
      <c r="P668" s="9">
        <v>44117.0</v>
      </c>
      <c r="Q668" s="10">
        <v>0.027777777781011537</v>
      </c>
      <c r="R668" s="11" t="str">
        <f t="shared" si="1"/>
        <v>Пайка компонентов PRI</v>
      </c>
      <c r="S668" s="12" t="str">
        <f>iferror(VLOOKUP(C668,'ФИО'!A:B,2,0),"учётный код не найден")</f>
        <v>THT</v>
      </c>
      <c r="T668" s="13" t="str">
        <f t="shared" si="2"/>
        <v>915-00103.A - ПБОК-1В АСЛБ.465285.012 (Квант)</v>
      </c>
      <c r="U668" s="8">
        <v>8.0</v>
      </c>
      <c r="V668" s="8">
        <v>0.0</v>
      </c>
      <c r="W668" s="17" t="str">
        <f t="shared" si="73"/>
        <v>Данные не заполены</v>
      </c>
      <c r="X668" s="14" t="str">
        <f t="shared" si="74"/>
        <v>Данные не заполены</v>
      </c>
      <c r="Y668" s="15">
        <f t="shared" si="75"/>
        <v>0</v>
      </c>
    </row>
    <row r="669" hidden="1">
      <c r="A669" s="7">
        <v>44118.320967604166</v>
      </c>
      <c r="B669" s="8" t="s">
        <v>94</v>
      </c>
      <c r="C669" s="8">
        <v>60000.0</v>
      </c>
      <c r="D669" s="8" t="s">
        <v>69</v>
      </c>
      <c r="F669" s="8" t="s">
        <v>72</v>
      </c>
      <c r="G669" s="8">
        <v>3580.0</v>
      </c>
      <c r="H669" s="8" t="s">
        <v>29</v>
      </c>
      <c r="I669" s="8" t="s">
        <v>145</v>
      </c>
      <c r="L669" s="8" t="s">
        <v>37</v>
      </c>
      <c r="P669" s="9">
        <v>44117.0</v>
      </c>
      <c r="Q669" s="10">
        <v>0.052083333333333336</v>
      </c>
      <c r="R669" s="11" t="str">
        <f t="shared" si="1"/>
        <v>Пайка компонентов PRI</v>
      </c>
      <c r="S669" s="12" t="str">
        <f>iferror(VLOOKUP(C669,'ФИО'!A:B,2,0),"учётный код не найден")</f>
        <v>THT</v>
      </c>
      <c r="T669" s="13" t="str">
        <f t="shared" si="2"/>
        <v>XR (OÜ KLARBERG)</v>
      </c>
      <c r="U669" s="8">
        <v>850.0</v>
      </c>
      <c r="V669" s="8">
        <v>0.0</v>
      </c>
      <c r="W669" s="17">
        <v>6828.0</v>
      </c>
      <c r="X669" s="14">
        <f t="shared" si="74"/>
        <v>1.095489162</v>
      </c>
      <c r="Y669" s="15">
        <f t="shared" si="75"/>
        <v>0</v>
      </c>
    </row>
    <row r="670" hidden="1">
      <c r="A670" s="7">
        <v>44118.32273233796</v>
      </c>
      <c r="B670" s="8" t="s">
        <v>94</v>
      </c>
      <c r="C670" s="8">
        <v>60000.0</v>
      </c>
      <c r="D670" s="8" t="s">
        <v>69</v>
      </c>
      <c r="F670" s="8" t="s">
        <v>72</v>
      </c>
      <c r="G670" s="8">
        <v>3234.0</v>
      </c>
      <c r="H670" s="8" t="s">
        <v>29</v>
      </c>
      <c r="I670" s="8" t="s">
        <v>135</v>
      </c>
      <c r="L670" s="8" t="s">
        <v>37</v>
      </c>
      <c r="P670" s="9">
        <v>44117.0</v>
      </c>
      <c r="Q670" s="10">
        <v>0.020833333335758653</v>
      </c>
      <c r="R670" s="11" t="str">
        <f t="shared" si="1"/>
        <v>Пайка компонентов PRI</v>
      </c>
      <c r="S670" s="12" t="str">
        <f>iferror(VLOOKUP(C670,'ФИО'!A:B,2,0),"учётный код не найден")</f>
        <v>THT</v>
      </c>
      <c r="T670" s="13" t="str">
        <f t="shared" si="2"/>
        <v>915-00101.A - ПКД-9В АСЛБ.467249.107 (Квант)</v>
      </c>
      <c r="U670" s="8">
        <v>7.0</v>
      </c>
      <c r="V670" s="8">
        <v>0.0</v>
      </c>
      <c r="W670" s="17" t="str">
        <f t="shared" ref="W670:W682" si="76">IFERROR((((38412/(ifs(O670&lt;35,35,O670&gt;34,O670)/N670)*0.7))),"Данные не заполены")</f>
        <v>Данные не заполены</v>
      </c>
      <c r="X670" s="14" t="str">
        <f t="shared" si="74"/>
        <v>Данные не заполены</v>
      </c>
      <c r="Y670" s="15">
        <f t="shared" si="75"/>
        <v>0</v>
      </c>
    </row>
    <row r="671" hidden="1">
      <c r="A671" s="7">
        <v>44118.315114074074</v>
      </c>
      <c r="B671" s="8" t="s">
        <v>94</v>
      </c>
      <c r="C671" s="8">
        <v>50000.0</v>
      </c>
      <c r="D671" s="8" t="s">
        <v>27</v>
      </c>
      <c r="E671" s="8" t="s">
        <v>88</v>
      </c>
      <c r="G671" s="8">
        <v>3622.0</v>
      </c>
      <c r="H671" s="8" t="s">
        <v>29</v>
      </c>
      <c r="I671" s="8" t="s">
        <v>90</v>
      </c>
      <c r="L671" s="8" t="s">
        <v>37</v>
      </c>
      <c r="N671" s="8">
        <v>1.0</v>
      </c>
      <c r="O671" s="8">
        <v>86.0</v>
      </c>
      <c r="P671" s="9">
        <v>44117.0</v>
      </c>
      <c r="Q671" s="10">
        <v>0.1875</v>
      </c>
      <c r="R671" s="11" t="str">
        <f t="shared" si="1"/>
        <v>Сборка на линии Sec</v>
      </c>
      <c r="S671" s="16" t="str">
        <f>iferror(VLOOKUP(C671,'ФИО'!A:B,2,0),"учётный код не найден")</f>
        <v>SMT</v>
      </c>
      <c r="T671" s="13" t="str">
        <f t="shared" si="2"/>
        <v>915-00124.A - Tioga Pass_v1.1 (Гагар.ин)</v>
      </c>
      <c r="U671" s="8">
        <v>1.0</v>
      </c>
      <c r="V671" s="8">
        <v>0.0</v>
      </c>
      <c r="W671" s="17">
        <f t="shared" si="76"/>
        <v>312.655814</v>
      </c>
      <c r="X671" s="14">
        <f t="shared" si="74"/>
        <v>0.00781832397</v>
      </c>
      <c r="Y671" s="15">
        <f t="shared" si="75"/>
        <v>0</v>
      </c>
    </row>
    <row r="672" hidden="1">
      <c r="A672" s="7">
        <v>44114.830867916666</v>
      </c>
      <c r="B672" s="8" t="s">
        <v>87</v>
      </c>
      <c r="C672" s="8">
        <v>21426.0</v>
      </c>
      <c r="D672" s="8" t="s">
        <v>69</v>
      </c>
      <c r="F672" s="8" t="s">
        <v>106</v>
      </c>
      <c r="G672" s="8">
        <v>3750.0</v>
      </c>
      <c r="H672" s="8" t="s">
        <v>45</v>
      </c>
      <c r="K672" s="8" t="s">
        <v>46</v>
      </c>
      <c r="L672" s="8" t="s">
        <v>31</v>
      </c>
      <c r="M672" s="8" t="s">
        <v>34</v>
      </c>
      <c r="N672" s="8"/>
      <c r="O672" s="8"/>
      <c r="P672" s="9">
        <v>44114.0</v>
      </c>
      <c r="Q672" s="10">
        <v>0.04166666666424135</v>
      </c>
      <c r="R672" s="11" t="str">
        <f t="shared" si="1"/>
        <v>Настройка SEHO PRI</v>
      </c>
      <c r="S672" s="16" t="str">
        <f>iferror(VLOOKUP(C672,'ФИО'!A:B,2,0),"учётный код не найден")</f>
        <v>Скибинский Антон Германович</v>
      </c>
      <c r="T672" s="13" t="str">
        <f t="shared" si="2"/>
        <v>ПУ 910-00349.A "Печатный узел основного блока E96 4LIN"</v>
      </c>
      <c r="U672" s="8">
        <v>0.0</v>
      </c>
      <c r="V672" s="8">
        <v>0.0</v>
      </c>
      <c r="W672" s="21" t="str">
        <f t="shared" si="76"/>
        <v>Данные не заполены</v>
      </c>
      <c r="X672" s="15" t="str">
        <f t="shared" si="74"/>
        <v>Данные не заполены</v>
      </c>
      <c r="Y672" s="15">
        <f t="shared" si="75"/>
        <v>0</v>
      </c>
    </row>
    <row r="673" hidden="1">
      <c r="A673" s="7">
        <v>44115.32085795139</v>
      </c>
      <c r="B673" s="8" t="s">
        <v>76</v>
      </c>
      <c r="C673" s="8">
        <v>21852.0</v>
      </c>
      <c r="D673" s="8" t="s">
        <v>69</v>
      </c>
      <c r="F673" s="8" t="s">
        <v>106</v>
      </c>
      <c r="G673" s="8">
        <v>3750.0</v>
      </c>
      <c r="H673" s="8" t="s">
        <v>45</v>
      </c>
      <c r="K673" s="8" t="s">
        <v>46</v>
      </c>
      <c r="L673" s="8" t="s">
        <v>31</v>
      </c>
      <c r="M673" s="8" t="s">
        <v>34</v>
      </c>
      <c r="N673" s="8"/>
      <c r="O673" s="8"/>
      <c r="P673" s="9">
        <v>44114.0</v>
      </c>
      <c r="Q673" s="10">
        <v>0.04166666666424135</v>
      </c>
      <c r="R673" s="11" t="str">
        <f t="shared" si="1"/>
        <v>Настройка SEHO PRI</v>
      </c>
      <c r="S673" s="16" t="str">
        <f>iferror(VLOOKUP(C673,'ФИО'!A:B,2,0),"учётный код не найден")</f>
        <v>Пономарев Юрий Андреевич</v>
      </c>
      <c r="T673" s="13" t="str">
        <f t="shared" si="2"/>
        <v>ПУ 910-00349.A "Печатный узел основного блока E96 4LIN"</v>
      </c>
      <c r="U673" s="8">
        <v>0.0</v>
      </c>
      <c r="V673" s="8">
        <v>0.0</v>
      </c>
      <c r="W673" s="21" t="str">
        <f t="shared" si="76"/>
        <v>Данные не заполены</v>
      </c>
      <c r="X673" s="15" t="str">
        <f t="shared" si="74"/>
        <v>Данные не заполены</v>
      </c>
      <c r="Y673" s="15">
        <f t="shared" si="75"/>
        <v>0</v>
      </c>
    </row>
    <row r="674" hidden="1">
      <c r="A674" s="7">
        <v>44118.314027071756</v>
      </c>
      <c r="B674" s="8" t="s">
        <v>94</v>
      </c>
      <c r="C674" s="8">
        <v>21928.0</v>
      </c>
      <c r="D674" s="8" t="s">
        <v>69</v>
      </c>
      <c r="F674" s="8" t="s">
        <v>106</v>
      </c>
      <c r="G674" s="8">
        <v>3232.0</v>
      </c>
      <c r="H674" s="8" t="s">
        <v>29</v>
      </c>
      <c r="I674" s="8" t="s">
        <v>63</v>
      </c>
      <c r="L674" s="8" t="s">
        <v>31</v>
      </c>
      <c r="M674" s="8" t="s">
        <v>34</v>
      </c>
      <c r="P674" s="9">
        <v>44117.0</v>
      </c>
      <c r="Q674" s="10">
        <v>0.03472222221898846</v>
      </c>
      <c r="R674" s="11" t="str">
        <f t="shared" si="1"/>
        <v>Настройка SEHO PRI</v>
      </c>
      <c r="S674" s="16" t="str">
        <f>iferror(VLOOKUP(C674,'ФИО'!A:B,2,0),"учётный код не найден")</f>
        <v>Савченко Виктория Андреевна</v>
      </c>
      <c r="T674" s="13" t="str">
        <f t="shared" si="2"/>
        <v>915-00103.A - ПБОК-1В АСЛБ.465285.012 (Квант)</v>
      </c>
      <c r="U674" s="8">
        <v>0.0</v>
      </c>
      <c r="V674" s="8">
        <v>0.0</v>
      </c>
      <c r="W674" s="17" t="str">
        <f t="shared" si="76"/>
        <v>Данные не заполены</v>
      </c>
      <c r="X674" s="14" t="str">
        <f t="shared" si="74"/>
        <v>Данные не заполены</v>
      </c>
      <c r="Y674" s="15">
        <f t="shared" si="75"/>
        <v>0</v>
      </c>
    </row>
    <row r="675" hidden="1">
      <c r="A675" s="7">
        <v>44118.31688806713</v>
      </c>
      <c r="B675" s="8" t="s">
        <v>94</v>
      </c>
      <c r="C675" s="8">
        <v>21928.0</v>
      </c>
      <c r="D675" s="8" t="s">
        <v>69</v>
      </c>
      <c r="F675" s="8" t="s">
        <v>106</v>
      </c>
      <c r="G675" s="8">
        <v>3580.0</v>
      </c>
      <c r="H675" s="8" t="s">
        <v>29</v>
      </c>
      <c r="I675" s="8" t="s">
        <v>146</v>
      </c>
      <c r="L675" s="8" t="s">
        <v>31</v>
      </c>
      <c r="M675" s="8" t="s">
        <v>34</v>
      </c>
      <c r="P675" s="9">
        <v>44117.0</v>
      </c>
      <c r="Q675" s="10">
        <v>0.04166666666424135</v>
      </c>
      <c r="R675" s="11" t="str">
        <f t="shared" si="1"/>
        <v>Настройка SEHO PRI</v>
      </c>
      <c r="S675" s="16" t="str">
        <f>iferror(VLOOKUP(C675,'ФИО'!A:B,2,0),"учётный код не найден")</f>
        <v>Савченко Виктория Андреевна</v>
      </c>
      <c r="T675" s="13" t="str">
        <f t="shared" si="2"/>
        <v>XR (Термотроник)</v>
      </c>
      <c r="U675" s="8">
        <v>0.0</v>
      </c>
      <c r="V675" s="8">
        <v>0.0</v>
      </c>
      <c r="W675" s="17" t="str">
        <f t="shared" si="76"/>
        <v>Данные не заполены</v>
      </c>
      <c r="X675" s="14" t="str">
        <f t="shared" si="74"/>
        <v>Данные не заполены</v>
      </c>
      <c r="Y675" s="15">
        <f t="shared" si="75"/>
        <v>0</v>
      </c>
    </row>
    <row r="676" hidden="1">
      <c r="A676" s="7">
        <v>44118.18856829861</v>
      </c>
      <c r="B676" s="8" t="s">
        <v>94</v>
      </c>
      <c r="C676" s="8">
        <v>20985.0</v>
      </c>
      <c r="D676" s="8" t="s">
        <v>69</v>
      </c>
      <c r="F676" s="8" t="s">
        <v>106</v>
      </c>
      <c r="G676" s="8">
        <v>3232.0</v>
      </c>
      <c r="H676" s="8" t="s">
        <v>29</v>
      </c>
      <c r="I676" s="8" t="s">
        <v>63</v>
      </c>
      <c r="L676" s="8" t="s">
        <v>31</v>
      </c>
      <c r="M676" s="8" t="s">
        <v>34</v>
      </c>
      <c r="P676" s="9">
        <v>44117.0</v>
      </c>
      <c r="Q676" s="10">
        <v>0.04166666666424135</v>
      </c>
      <c r="R676" s="11" t="str">
        <f t="shared" si="1"/>
        <v>Настройка SEHO PRI</v>
      </c>
      <c r="S676" s="16" t="str">
        <f>iferror(VLOOKUP(C676,'ФИО'!A:B,2,0),"учётный код не найден")</f>
        <v>Никонорова Наталия Владимировна</v>
      </c>
      <c r="T676" s="13" t="str">
        <f t="shared" si="2"/>
        <v>915-00103.A - ПБОК-1В АСЛБ.465285.012 (Квант)</v>
      </c>
      <c r="U676" s="8">
        <v>0.0</v>
      </c>
      <c r="V676" s="8">
        <v>0.0</v>
      </c>
      <c r="W676" s="17" t="str">
        <f t="shared" si="76"/>
        <v>Данные не заполены</v>
      </c>
      <c r="X676" s="14" t="str">
        <f t="shared" si="74"/>
        <v>Данные не заполены</v>
      </c>
      <c r="Y676" s="15">
        <f t="shared" si="75"/>
        <v>0</v>
      </c>
    </row>
    <row r="677" hidden="1">
      <c r="A677" s="7">
        <v>44118.19004113426</v>
      </c>
      <c r="B677" s="8" t="s">
        <v>94</v>
      </c>
      <c r="C677" s="8">
        <v>20985.0</v>
      </c>
      <c r="D677" s="8" t="s">
        <v>69</v>
      </c>
      <c r="F677" s="8" t="s">
        <v>106</v>
      </c>
      <c r="G677" s="8">
        <v>3580.0</v>
      </c>
      <c r="H677" s="8" t="s">
        <v>29</v>
      </c>
      <c r="I677" s="8" t="s">
        <v>145</v>
      </c>
      <c r="L677" s="8" t="s">
        <v>31</v>
      </c>
      <c r="M677" s="8" t="s">
        <v>34</v>
      </c>
      <c r="P677" s="9">
        <v>44117.0</v>
      </c>
      <c r="Q677" s="10">
        <v>0.03125</v>
      </c>
      <c r="R677" s="11" t="str">
        <f t="shared" si="1"/>
        <v>Настройка SEHO PRI</v>
      </c>
      <c r="S677" s="16" t="str">
        <f>iferror(VLOOKUP(C677,'ФИО'!A:B,2,0),"учётный код не найден")</f>
        <v>Никонорова Наталия Владимировна</v>
      </c>
      <c r="T677" s="13" t="str">
        <f t="shared" si="2"/>
        <v>XR (OÜ KLARBERG)</v>
      </c>
      <c r="U677" s="8">
        <v>0.0</v>
      </c>
      <c r="V677" s="8">
        <v>0.0</v>
      </c>
      <c r="W677" s="17" t="str">
        <f t="shared" si="76"/>
        <v>Данные не заполены</v>
      </c>
      <c r="X677" s="14" t="str">
        <f t="shared" si="74"/>
        <v>Данные не заполены</v>
      </c>
      <c r="Y677" s="15">
        <f t="shared" si="75"/>
        <v>0</v>
      </c>
    </row>
    <row r="678" hidden="1">
      <c r="A678" s="7">
        <v>44118.31858927083</v>
      </c>
      <c r="B678" s="8" t="s">
        <v>94</v>
      </c>
      <c r="C678" s="8">
        <v>20985.0</v>
      </c>
      <c r="D678" s="8" t="s">
        <v>69</v>
      </c>
      <c r="F678" s="8" t="s">
        <v>106</v>
      </c>
      <c r="G678" s="8">
        <v>3234.0</v>
      </c>
      <c r="H678" s="8" t="s">
        <v>29</v>
      </c>
      <c r="I678" s="8" t="s">
        <v>135</v>
      </c>
      <c r="L678" s="8" t="s">
        <v>31</v>
      </c>
      <c r="M678" s="8" t="s">
        <v>34</v>
      </c>
      <c r="P678" s="9">
        <v>44117.0</v>
      </c>
      <c r="Q678" s="10">
        <v>0.04166666666424135</v>
      </c>
      <c r="R678" s="11" t="str">
        <f t="shared" si="1"/>
        <v>Настройка SEHO PRI</v>
      </c>
      <c r="S678" s="16" t="str">
        <f>iferror(VLOOKUP(C678,'ФИО'!A:B,2,0),"учётный код не найден")</f>
        <v>Никонорова Наталия Владимировна</v>
      </c>
      <c r="T678" s="13" t="str">
        <f t="shared" si="2"/>
        <v>915-00101.A - ПКД-9В АСЛБ.467249.107 (Квант)</v>
      </c>
      <c r="U678" s="8">
        <v>0.0</v>
      </c>
      <c r="V678" s="8">
        <v>0.0</v>
      </c>
      <c r="W678" s="17" t="str">
        <f t="shared" si="76"/>
        <v>Данные не заполены</v>
      </c>
      <c r="X678" s="14" t="str">
        <f t="shared" si="74"/>
        <v>Данные не заполены</v>
      </c>
      <c r="Y678" s="15">
        <f t="shared" si="75"/>
        <v>0</v>
      </c>
    </row>
    <row r="679" hidden="1">
      <c r="A679" s="7">
        <v>44118.83234552083</v>
      </c>
      <c r="B679" s="8" t="s">
        <v>89</v>
      </c>
      <c r="C679" s="8">
        <v>21852.0</v>
      </c>
      <c r="D679" s="8" t="s">
        <v>69</v>
      </c>
      <c r="F679" s="8" t="s">
        <v>106</v>
      </c>
      <c r="G679" s="8">
        <v>3234.0</v>
      </c>
      <c r="H679" s="8" t="s">
        <v>29</v>
      </c>
      <c r="I679" s="8" t="s">
        <v>135</v>
      </c>
      <c r="L679" s="8" t="s">
        <v>31</v>
      </c>
      <c r="M679" s="8" t="s">
        <v>34</v>
      </c>
      <c r="P679" s="9">
        <v>44118.0</v>
      </c>
      <c r="Q679" s="10">
        <v>0.04166666666424135</v>
      </c>
      <c r="R679" s="11" t="str">
        <f t="shared" si="1"/>
        <v>Настройка SEHO PRI</v>
      </c>
      <c r="S679" s="16" t="str">
        <f>iferror(VLOOKUP(C679,'ФИО'!A:B,2,0),"учётный код не найден")</f>
        <v>Пономарев Юрий Андреевич</v>
      </c>
      <c r="T679" s="13" t="str">
        <f t="shared" si="2"/>
        <v>915-00101.A - ПКД-9В АСЛБ.467249.107 (Квант)</v>
      </c>
      <c r="U679" s="8">
        <v>0.0</v>
      </c>
      <c r="V679" s="8">
        <v>0.0</v>
      </c>
      <c r="W679" s="17" t="str">
        <f t="shared" si="76"/>
        <v>Данные не заполены</v>
      </c>
      <c r="X679" s="14" t="str">
        <f t="shared" si="74"/>
        <v>Данные не заполены</v>
      </c>
      <c r="Y679" s="15">
        <f t="shared" si="75"/>
        <v>0</v>
      </c>
    </row>
    <row r="680" hidden="1">
      <c r="A680" s="7">
        <v>44119.32479846065</v>
      </c>
      <c r="B680" s="8" t="s">
        <v>94</v>
      </c>
      <c r="C680" s="8">
        <v>21928.0</v>
      </c>
      <c r="D680" s="8" t="s">
        <v>69</v>
      </c>
      <c r="F680" s="8" t="s">
        <v>106</v>
      </c>
      <c r="G680" s="8">
        <v>3580.0</v>
      </c>
      <c r="H680" s="8" t="s">
        <v>29</v>
      </c>
      <c r="I680" s="8" t="s">
        <v>146</v>
      </c>
      <c r="L680" s="8" t="s">
        <v>31</v>
      </c>
      <c r="M680" s="8" t="s">
        <v>34</v>
      </c>
      <c r="P680" s="9">
        <v>44118.0</v>
      </c>
      <c r="Q680" s="10">
        <v>0.04166666666424135</v>
      </c>
      <c r="R680" s="11" t="str">
        <f t="shared" si="1"/>
        <v>Настройка SEHO PRI</v>
      </c>
      <c r="S680" s="16" t="str">
        <f>iferror(VLOOKUP(C680,'ФИО'!A:B,2,0),"учётный код не найден")</f>
        <v>Савченко Виктория Андреевна</v>
      </c>
      <c r="T680" s="13" t="str">
        <f t="shared" si="2"/>
        <v>XR (Термотроник)</v>
      </c>
      <c r="U680" s="8">
        <v>0.0</v>
      </c>
      <c r="V680" s="8">
        <v>0.0</v>
      </c>
      <c r="W680" s="17" t="str">
        <f t="shared" si="76"/>
        <v>Данные не заполены</v>
      </c>
      <c r="X680" s="14" t="str">
        <f t="shared" si="74"/>
        <v>Данные не заполены</v>
      </c>
      <c r="Y680" s="15">
        <f t="shared" si="75"/>
        <v>0</v>
      </c>
    </row>
    <row r="681" hidden="1">
      <c r="A681" s="7">
        <v>44116.82119361111</v>
      </c>
      <c r="B681" s="8" t="s">
        <v>127</v>
      </c>
      <c r="C681" s="8">
        <v>22574.0</v>
      </c>
      <c r="D681" s="8" t="s">
        <v>27</v>
      </c>
      <c r="E681" s="8" t="s">
        <v>57</v>
      </c>
      <c r="G681" s="8">
        <v>3622.0</v>
      </c>
      <c r="H681" s="8" t="s">
        <v>29</v>
      </c>
      <c r="I681" s="8" t="s">
        <v>90</v>
      </c>
      <c r="L681" s="8" t="s">
        <v>31</v>
      </c>
      <c r="M681" s="8" t="s">
        <v>34</v>
      </c>
      <c r="N681" s="8"/>
      <c r="O681" s="8"/>
      <c r="P681" s="9">
        <v>44116.0</v>
      </c>
      <c r="Q681" s="10">
        <v>0.020833333335758653</v>
      </c>
      <c r="R681" s="11" t="str">
        <f t="shared" si="1"/>
        <v>Настройка линии Primary</v>
      </c>
      <c r="S681" s="16" t="str">
        <f>iferror(VLOOKUP(C681,'ФИО'!A:B,2,0),"учётный код не найден")</f>
        <v>Шапенков Геннадий Михайлович</v>
      </c>
      <c r="T681" s="11" t="str">
        <f t="shared" si="2"/>
        <v>915-00124.A - Tioga Pass_v1.1 (Гагар.ин)</v>
      </c>
      <c r="U681" s="8">
        <v>0.0</v>
      </c>
      <c r="V681" s="8">
        <v>0.0</v>
      </c>
      <c r="W681" s="17" t="str">
        <f t="shared" si="76"/>
        <v>Данные не заполены</v>
      </c>
      <c r="X681" s="14" t="str">
        <f t="shared" si="74"/>
        <v>Данные не заполены</v>
      </c>
      <c r="Y681" s="15">
        <f t="shared" si="75"/>
        <v>0</v>
      </c>
    </row>
    <row r="682" hidden="1">
      <c r="A682" s="7">
        <v>44119.44966489583</v>
      </c>
      <c r="B682" s="8" t="s">
        <v>89</v>
      </c>
      <c r="C682" s="8">
        <v>20015.0</v>
      </c>
      <c r="D682" s="8" t="s">
        <v>69</v>
      </c>
      <c r="F682" s="8" t="s">
        <v>206</v>
      </c>
      <c r="G682" s="8">
        <v>3238.0</v>
      </c>
      <c r="H682" s="8" t="s">
        <v>29</v>
      </c>
      <c r="I682" s="8" t="s">
        <v>43</v>
      </c>
      <c r="L682" s="8" t="s">
        <v>31</v>
      </c>
      <c r="M682" s="8" t="s">
        <v>34</v>
      </c>
      <c r="P682" s="9">
        <v>44119.0</v>
      </c>
      <c r="Q682" s="10">
        <v>0.020833333335758653</v>
      </c>
      <c r="R682" s="11" t="str">
        <f t="shared" si="1"/>
        <v>Настройка линии</v>
      </c>
      <c r="S682" s="16" t="str">
        <f>iferror(VLOOKUP(C682,'ФИО'!A:B,2,0),"учётный код не найден")</f>
        <v>Ельцов Андрей Николаевич</v>
      </c>
      <c r="T682" s="13" t="str">
        <f t="shared" si="2"/>
        <v>915-00097.A - ПКД-8В-3 АСЛБ.467249.110 (Квант)</v>
      </c>
      <c r="U682" s="8">
        <v>0.0</v>
      </c>
      <c r="V682" s="8">
        <v>0.0</v>
      </c>
      <c r="W682" s="17" t="str">
        <f t="shared" si="76"/>
        <v>Данные не заполены</v>
      </c>
      <c r="X682" s="14" t="str">
        <f t="shared" si="74"/>
        <v>Данные не заполены</v>
      </c>
      <c r="Y682" s="15">
        <f t="shared" si="75"/>
        <v>0</v>
      </c>
    </row>
    <row r="683" hidden="1">
      <c r="A683" s="7">
        <v>44122.82803070602</v>
      </c>
      <c r="B683" s="8" t="s">
        <v>87</v>
      </c>
      <c r="C683" s="8">
        <v>21928.0</v>
      </c>
      <c r="D683" s="8" t="s">
        <v>69</v>
      </c>
      <c r="F683" s="8" t="s">
        <v>106</v>
      </c>
      <c r="G683" s="8">
        <v>3750.0</v>
      </c>
      <c r="H683" s="8" t="s">
        <v>45</v>
      </c>
      <c r="K683" s="8" t="s">
        <v>46</v>
      </c>
      <c r="L683" s="8" t="s">
        <v>31</v>
      </c>
      <c r="M683" s="8" t="s">
        <v>34</v>
      </c>
      <c r="P683" s="9">
        <v>44122.0</v>
      </c>
      <c r="Q683" s="10">
        <v>0.04166666666424135</v>
      </c>
      <c r="R683" s="11" t="str">
        <f t="shared" si="1"/>
        <v>Настройка SEHO PRI</v>
      </c>
      <c r="S683" s="16" t="str">
        <f>iferror(VLOOKUP(C683,'ФИО'!A:B,2,0),"учётный код не найден")</f>
        <v>Савченко Виктория Андреевна</v>
      </c>
      <c r="T683" s="13" t="str">
        <f t="shared" si="2"/>
        <v>ПУ 910-00349.A "Печатный узел основного блока E96 4LIN"</v>
      </c>
      <c r="U683" s="8">
        <v>0.0</v>
      </c>
      <c r="V683" s="8">
        <v>0.0</v>
      </c>
      <c r="X683" s="14" t="str">
        <f t="shared" si="74"/>
        <v>Данные не заполены</v>
      </c>
      <c r="Y683" s="15">
        <f t="shared" si="75"/>
        <v>0</v>
      </c>
    </row>
    <row r="684" hidden="1">
      <c r="A684" s="7">
        <v>44122.83109583333</v>
      </c>
      <c r="B684" s="8" t="s">
        <v>87</v>
      </c>
      <c r="C684" s="8">
        <v>21928.0</v>
      </c>
      <c r="D684" s="8" t="s">
        <v>69</v>
      </c>
      <c r="F684" s="8" t="s">
        <v>106</v>
      </c>
      <c r="G684" s="8">
        <v>3047.0</v>
      </c>
      <c r="H684" s="8" t="s">
        <v>29</v>
      </c>
      <c r="I684" s="8" t="s">
        <v>77</v>
      </c>
      <c r="L684" s="8" t="s">
        <v>31</v>
      </c>
      <c r="M684" s="8" t="s">
        <v>34</v>
      </c>
      <c r="P684" s="9">
        <v>44122.0</v>
      </c>
      <c r="Q684" s="10">
        <v>0.020833333335758653</v>
      </c>
      <c r="R684" s="11" t="str">
        <f t="shared" si="1"/>
        <v>Настройка SEHO PRI</v>
      </c>
      <c r="S684" s="16" t="str">
        <f>iferror(VLOOKUP(C684,'ФИО'!A:B,2,0),"учётный код не найден")</f>
        <v>Савченко Виктория Андреевна</v>
      </c>
      <c r="T684" s="13" t="str">
        <f t="shared" si="2"/>
        <v>915-00081.A-Модуль Трик8 (Кибертех)</v>
      </c>
      <c r="U684" s="8">
        <v>0.0</v>
      </c>
      <c r="V684" s="8">
        <v>0.0</v>
      </c>
      <c r="X684" s="14" t="str">
        <f t="shared" si="74"/>
        <v>Данные не заполены</v>
      </c>
      <c r="Y684" s="15">
        <f t="shared" si="75"/>
        <v>0</v>
      </c>
    </row>
    <row r="685" hidden="1">
      <c r="A685" s="7">
        <v>44122.83311032408</v>
      </c>
      <c r="B685" s="8" t="s">
        <v>87</v>
      </c>
      <c r="C685" s="8">
        <v>22087.0</v>
      </c>
      <c r="D685" s="8" t="s">
        <v>69</v>
      </c>
      <c r="F685" s="8" t="s">
        <v>106</v>
      </c>
      <c r="G685" s="8">
        <v>3047.0</v>
      </c>
      <c r="H685" s="8" t="s">
        <v>29</v>
      </c>
      <c r="I685" s="8" t="s">
        <v>77</v>
      </c>
      <c r="L685" s="8" t="s">
        <v>31</v>
      </c>
      <c r="M685" s="8" t="s">
        <v>34</v>
      </c>
      <c r="P685" s="9">
        <v>44122.0</v>
      </c>
      <c r="Q685" s="10">
        <v>0.020833333335758653</v>
      </c>
      <c r="R685" s="11" t="str">
        <f t="shared" si="1"/>
        <v>Настройка SEHO PRI</v>
      </c>
      <c r="S685" s="16" t="str">
        <f>iferror(VLOOKUP(C685,'ФИО'!A:B,2,0),"учётный код не найден")</f>
        <v>Хохряков Илья Александрович</v>
      </c>
      <c r="T685" s="13" t="str">
        <f t="shared" si="2"/>
        <v>915-00081.A-Модуль Трик8 (Кибертех)</v>
      </c>
      <c r="U685" s="8">
        <v>0.0</v>
      </c>
      <c r="V685" s="8">
        <v>0.0</v>
      </c>
      <c r="X685" s="14" t="str">
        <f t="shared" si="74"/>
        <v>Данные не заполены</v>
      </c>
      <c r="Y685" s="15">
        <f t="shared" si="75"/>
        <v>0</v>
      </c>
    </row>
    <row r="686" hidden="1">
      <c r="A686" s="7">
        <v>44126.8276472338</v>
      </c>
      <c r="B686" s="8" t="s">
        <v>89</v>
      </c>
      <c r="C686" s="8">
        <v>22011.0</v>
      </c>
      <c r="D686" s="8" t="s">
        <v>69</v>
      </c>
      <c r="F686" s="8" t="s">
        <v>106</v>
      </c>
      <c r="G686" s="8">
        <v>3253.0</v>
      </c>
      <c r="H686" s="8" t="s">
        <v>29</v>
      </c>
      <c r="I686" s="8" t="s">
        <v>95</v>
      </c>
      <c r="L686" s="8" t="s">
        <v>31</v>
      </c>
      <c r="M686" s="8" t="s">
        <v>34</v>
      </c>
      <c r="P686" s="9">
        <v>44126.0</v>
      </c>
      <c r="Q686" s="10">
        <v>0.04166666666424135</v>
      </c>
      <c r="R686" s="11" t="str">
        <f t="shared" si="1"/>
        <v>Настройка SEHO PRI</v>
      </c>
      <c r="S686" s="16" t="str">
        <f>iferror(VLOOKUP(C686,'ФИО'!A:B,2,0),"учётный код не найден")</f>
        <v>Сергеев Алексей Андреевич</v>
      </c>
      <c r="T686" s="13" t="str">
        <f t="shared" si="2"/>
        <v>915-00095.A - ПКД-8В-1 АСЛБ.467249.108 (Квант)</v>
      </c>
      <c r="U686" s="8">
        <v>2.0</v>
      </c>
      <c r="V686" s="8">
        <v>0.0</v>
      </c>
      <c r="W686" s="17" t="str">
        <f t="shared" ref="W686:W707" si="77">IFERROR((((38412/(ifs(O686&lt;35,35,O686&gt;34,O686)/N686)*0.7))),"Данные не заполены")</f>
        <v>Данные не заполены</v>
      </c>
      <c r="X686" s="14" t="str">
        <f t="shared" si="74"/>
        <v>Данные не заполены</v>
      </c>
      <c r="Y686" s="15">
        <f t="shared" si="75"/>
        <v>0</v>
      </c>
    </row>
    <row r="687" hidden="1">
      <c r="A687" s="7">
        <v>44126.82817577546</v>
      </c>
      <c r="B687" s="8" t="s">
        <v>89</v>
      </c>
      <c r="C687" s="8">
        <v>22011.0</v>
      </c>
      <c r="D687" s="8" t="s">
        <v>69</v>
      </c>
      <c r="F687" s="8" t="s">
        <v>106</v>
      </c>
      <c r="G687" s="8">
        <v>3252.0</v>
      </c>
      <c r="H687" s="8" t="s">
        <v>29</v>
      </c>
      <c r="I687" s="8" t="s">
        <v>96</v>
      </c>
      <c r="L687" s="8" t="s">
        <v>31</v>
      </c>
      <c r="M687" s="8" t="s">
        <v>34</v>
      </c>
      <c r="P687" s="9">
        <v>44126.0</v>
      </c>
      <c r="Q687" s="10">
        <v>0.020833333335758653</v>
      </c>
      <c r="R687" s="11" t="str">
        <f t="shared" si="1"/>
        <v>Настройка SEHO PRI</v>
      </c>
      <c r="S687" s="16" t="str">
        <f>iferror(VLOOKUP(C687,'ФИО'!A:B,2,0),"учётный код не найден")</f>
        <v>Сергеев Алексей Андреевич</v>
      </c>
      <c r="T687" s="13" t="str">
        <f t="shared" si="2"/>
        <v>915-00096.A - ПКД-8В-2 АСЛБ.467249.109</v>
      </c>
      <c r="U687" s="8">
        <v>2.0</v>
      </c>
      <c r="V687" s="8">
        <v>0.0</v>
      </c>
      <c r="W687" s="17" t="str">
        <f t="shared" si="77"/>
        <v>Данные не заполены</v>
      </c>
      <c r="X687" s="14" t="str">
        <f t="shared" si="74"/>
        <v>Данные не заполены</v>
      </c>
      <c r="Y687" s="15">
        <f t="shared" si="75"/>
        <v>0</v>
      </c>
    </row>
    <row r="688" hidden="1">
      <c r="A688" s="7">
        <v>44127.202844432875</v>
      </c>
      <c r="B688" s="8" t="s">
        <v>94</v>
      </c>
      <c r="C688" s="8">
        <v>20985.0</v>
      </c>
      <c r="D688" s="8" t="s">
        <v>69</v>
      </c>
      <c r="F688" s="8" t="s">
        <v>106</v>
      </c>
      <c r="G688" s="8">
        <v>3252.0</v>
      </c>
      <c r="H688" s="8" t="s">
        <v>29</v>
      </c>
      <c r="I688" s="8" t="s">
        <v>96</v>
      </c>
      <c r="L688" s="8" t="s">
        <v>31</v>
      </c>
      <c r="M688" s="8" t="s">
        <v>34</v>
      </c>
      <c r="P688" s="9">
        <v>44126.0</v>
      </c>
      <c r="Q688" s="10">
        <v>0.04166666666424135</v>
      </c>
      <c r="R688" s="11" t="str">
        <f t="shared" si="1"/>
        <v>Настройка SEHO PRI</v>
      </c>
      <c r="S688" s="16" t="str">
        <f>iferror(VLOOKUP(C688,'ФИО'!A:B,2,0),"учётный код не найден")</f>
        <v>Никонорова Наталия Владимировна</v>
      </c>
      <c r="T688" s="13" t="str">
        <f t="shared" si="2"/>
        <v>915-00096.A - ПКД-8В-2 АСЛБ.467249.109</v>
      </c>
      <c r="U688" s="8">
        <v>0.0</v>
      </c>
      <c r="V688" s="8">
        <v>0.0</v>
      </c>
      <c r="W688" s="17" t="str">
        <f t="shared" si="77"/>
        <v>Данные не заполены</v>
      </c>
      <c r="X688" s="14" t="str">
        <f t="shared" si="74"/>
        <v>Данные не заполены</v>
      </c>
      <c r="Y688" s="15">
        <f t="shared" si="75"/>
        <v>0</v>
      </c>
    </row>
    <row r="689" hidden="1">
      <c r="A689" s="7">
        <v>44121.82325429398</v>
      </c>
      <c r="B689" s="8" t="s">
        <v>26</v>
      </c>
      <c r="C689" s="8">
        <v>22087.0</v>
      </c>
      <c r="D689" s="8" t="s">
        <v>69</v>
      </c>
      <c r="F689" s="8" t="s">
        <v>207</v>
      </c>
      <c r="G689" s="8">
        <v>3579.0</v>
      </c>
      <c r="H689" s="8" t="s">
        <v>29</v>
      </c>
      <c r="I689" s="8" t="s">
        <v>42</v>
      </c>
      <c r="L689" s="8" t="s">
        <v>31</v>
      </c>
      <c r="M689" s="8" t="s">
        <v>34</v>
      </c>
      <c r="P689" s="9">
        <v>44121.0</v>
      </c>
      <c r="Q689" s="10">
        <v>0.010416666664241347</v>
      </c>
      <c r="R689" s="11" t="str">
        <f t="shared" si="1"/>
        <v>Проверка первой платы после пайки</v>
      </c>
      <c r="S689" s="16" t="str">
        <f>iferror(VLOOKUP(C689,'ФИО'!A:B,2,0),"учётный код не найден")</f>
        <v>Хохряков Илья Александрович</v>
      </c>
      <c r="T689" s="13" t="str">
        <f t="shared" si="2"/>
        <v>915-00070.A - Модуль телематики ТМ1 v3 (Сознательные машины)</v>
      </c>
      <c r="U689" s="8">
        <v>0.0</v>
      </c>
      <c r="V689" s="8">
        <v>0.0</v>
      </c>
      <c r="W689" s="17" t="str">
        <f t="shared" si="77"/>
        <v>Данные не заполены</v>
      </c>
      <c r="X689" s="14" t="str">
        <f t="shared" si="74"/>
        <v>Данные не заполены</v>
      </c>
      <c r="Y689" s="15">
        <f t="shared" si="75"/>
        <v>0</v>
      </c>
    </row>
    <row r="690" hidden="1">
      <c r="A690" s="7">
        <v>44131.335665439816</v>
      </c>
      <c r="B690" s="8" t="s">
        <v>76</v>
      </c>
      <c r="C690" s="8">
        <v>21852.0</v>
      </c>
      <c r="D690" s="8" t="s">
        <v>69</v>
      </c>
      <c r="F690" s="8" t="s">
        <v>106</v>
      </c>
      <c r="G690" s="8">
        <v>3253.0</v>
      </c>
      <c r="H690" s="8" t="s">
        <v>29</v>
      </c>
      <c r="I690" s="8" t="s">
        <v>95</v>
      </c>
      <c r="L690" s="8" t="s">
        <v>31</v>
      </c>
      <c r="M690" s="8" t="s">
        <v>34</v>
      </c>
      <c r="P690" s="9">
        <v>44130.0</v>
      </c>
      <c r="Q690" s="10">
        <v>0.04166666666424135</v>
      </c>
      <c r="R690" s="11" t="str">
        <f t="shared" si="1"/>
        <v>Настройка SEHO PRI</v>
      </c>
      <c r="S690" s="12" t="str">
        <f>iferror(VLOOKUP(C690,'ФИО'!A:B,2,0),"учётный код не найден")</f>
        <v>Пономарев Юрий Андреевич</v>
      </c>
      <c r="T690" s="13" t="str">
        <f t="shared" si="2"/>
        <v>915-00095.A - ПКД-8В-1 АСЛБ.467249.108 (Квант)</v>
      </c>
      <c r="U690" s="8">
        <v>0.0</v>
      </c>
      <c r="V690" s="8">
        <v>0.0</v>
      </c>
      <c r="W690" s="17" t="str">
        <f t="shared" si="77"/>
        <v>Данные не заполены</v>
      </c>
      <c r="X690" s="14" t="str">
        <f t="shared" si="74"/>
        <v>Данные не заполены</v>
      </c>
      <c r="Y690" s="15">
        <f t="shared" si="75"/>
        <v>0</v>
      </c>
    </row>
    <row r="691" hidden="1">
      <c r="A691" s="7">
        <v>44113.82382243055</v>
      </c>
      <c r="B691" s="8" t="s">
        <v>26</v>
      </c>
      <c r="C691" s="8">
        <v>21475.0</v>
      </c>
      <c r="D691" s="8" t="s">
        <v>69</v>
      </c>
      <c r="F691" s="8" t="s">
        <v>103</v>
      </c>
      <c r="G691" s="8">
        <v>3580.0</v>
      </c>
      <c r="H691" s="8" t="s">
        <v>29</v>
      </c>
      <c r="I691" s="8" t="s">
        <v>145</v>
      </c>
      <c r="L691" s="8" t="s">
        <v>37</v>
      </c>
      <c r="P691" s="9">
        <v>44113.0</v>
      </c>
      <c r="Q691" s="10">
        <v>0.04166666666424135</v>
      </c>
      <c r="R691" s="11" t="str">
        <f t="shared" si="1"/>
        <v>Проверка на АОИ PRI</v>
      </c>
      <c r="S691" s="16" t="str">
        <f>iferror(VLOOKUP(C691,'ФИО'!A:B,2,0),"учётный код не найден")</f>
        <v>Байрамашвили Альберт Зурабович</v>
      </c>
      <c r="T691" s="13" t="str">
        <f t="shared" si="2"/>
        <v>XR (OÜ KLARBERG)</v>
      </c>
      <c r="U691" s="8">
        <v>340.0</v>
      </c>
      <c r="V691" s="8">
        <v>0.0</v>
      </c>
      <c r="W691" s="21" t="str">
        <f t="shared" si="77"/>
        <v>Данные не заполены</v>
      </c>
      <c r="X691" s="15" t="str">
        <f t="shared" si="74"/>
        <v>Данные не заполены</v>
      </c>
      <c r="Y691" s="15">
        <f t="shared" si="75"/>
        <v>0</v>
      </c>
    </row>
    <row r="692" hidden="1">
      <c r="A692" s="7">
        <v>44110.146641018524</v>
      </c>
      <c r="B692" s="8" t="s">
        <v>94</v>
      </c>
      <c r="C692" s="8">
        <v>20985.0</v>
      </c>
      <c r="D692" s="8" t="s">
        <v>69</v>
      </c>
      <c r="F692" s="8" t="s">
        <v>79</v>
      </c>
      <c r="G692" s="8">
        <v>3233.0</v>
      </c>
      <c r="H692" s="8" t="s">
        <v>29</v>
      </c>
      <c r="I692" s="8" t="s">
        <v>60</v>
      </c>
      <c r="L692" s="8" t="s">
        <v>31</v>
      </c>
      <c r="M692" s="8" t="s">
        <v>34</v>
      </c>
      <c r="N692" s="8"/>
      <c r="O692" s="8"/>
      <c r="P692" s="9">
        <v>44109.0</v>
      </c>
      <c r="Q692" s="10">
        <v>0.04166666666424135</v>
      </c>
      <c r="R692" s="11" t="str">
        <f t="shared" si="1"/>
        <v>Настройка SEHO SEC</v>
      </c>
      <c r="S692" s="16" t="str">
        <f>iferror(VLOOKUP(C692,'ФИО'!A:B,2,0),"учётный код не найден")</f>
        <v>Никонорова Наталия Владимировна</v>
      </c>
      <c r="T692" s="13" t="str">
        <f t="shared" si="2"/>
        <v>915-00102.A - ПБОК-2В АСЛБ.465285.013 (Квант)</v>
      </c>
      <c r="U692" s="8">
        <v>0.0</v>
      </c>
      <c r="V692" s="8">
        <v>0.0</v>
      </c>
      <c r="W692" s="21" t="str">
        <f t="shared" si="77"/>
        <v>Данные не заполены</v>
      </c>
      <c r="X692" s="15" t="str">
        <f t="shared" si="74"/>
        <v>Данные не заполены</v>
      </c>
      <c r="Y692" s="15">
        <f t="shared" si="75"/>
        <v>0</v>
      </c>
    </row>
    <row r="693" hidden="1">
      <c r="A693" s="7">
        <v>44110.27458902777</v>
      </c>
      <c r="B693" s="8" t="s">
        <v>94</v>
      </c>
      <c r="C693" s="8">
        <v>20985.0</v>
      </c>
      <c r="D693" s="8" t="s">
        <v>69</v>
      </c>
      <c r="F693" s="8" t="s">
        <v>79</v>
      </c>
      <c r="G693" s="8">
        <v>3232.0</v>
      </c>
      <c r="H693" s="8" t="s">
        <v>29</v>
      </c>
      <c r="I693" s="8" t="s">
        <v>63</v>
      </c>
      <c r="L693" s="8" t="s">
        <v>31</v>
      </c>
      <c r="M693" s="8" t="s">
        <v>34</v>
      </c>
      <c r="N693" s="8"/>
      <c r="O693" s="8"/>
      <c r="P693" s="9">
        <v>44109.0</v>
      </c>
      <c r="Q693" s="10">
        <v>0.04166666666424135</v>
      </c>
      <c r="R693" s="11" t="str">
        <f t="shared" si="1"/>
        <v>Настройка SEHO SEC</v>
      </c>
      <c r="S693" s="16" t="str">
        <f>iferror(VLOOKUP(C693,'ФИО'!A:B,2,0),"учётный код не найден")</f>
        <v>Никонорова Наталия Владимировна</v>
      </c>
      <c r="T693" s="13" t="str">
        <f t="shared" si="2"/>
        <v>915-00103.A - ПБОК-1В АСЛБ.465285.012 (Квант)</v>
      </c>
      <c r="U693" s="8">
        <v>0.0</v>
      </c>
      <c r="V693" s="8">
        <v>0.0</v>
      </c>
      <c r="W693" s="21" t="str">
        <f t="shared" si="77"/>
        <v>Данные не заполены</v>
      </c>
      <c r="X693" s="15" t="str">
        <f t="shared" si="74"/>
        <v>Данные не заполены</v>
      </c>
      <c r="Y693" s="15">
        <f t="shared" si="75"/>
        <v>0</v>
      </c>
    </row>
    <row r="694" hidden="1">
      <c r="A694" s="7">
        <v>44117.81689627314</v>
      </c>
      <c r="B694" s="8" t="s">
        <v>127</v>
      </c>
      <c r="C694" s="8">
        <v>22574.0</v>
      </c>
      <c r="D694" s="8" t="s">
        <v>27</v>
      </c>
      <c r="E694" s="8" t="s">
        <v>57</v>
      </c>
      <c r="G694" s="8">
        <v>3622.0</v>
      </c>
      <c r="H694" s="8" t="s">
        <v>29</v>
      </c>
      <c r="I694" s="8" t="s">
        <v>90</v>
      </c>
      <c r="L694" s="8" t="s">
        <v>31</v>
      </c>
      <c r="M694" s="8" t="s">
        <v>34</v>
      </c>
      <c r="P694" s="9">
        <v>44117.0</v>
      </c>
      <c r="Q694" s="10">
        <v>0.020833333335758653</v>
      </c>
      <c r="R694" s="11" t="str">
        <f t="shared" si="1"/>
        <v>Настройка линии Primary</v>
      </c>
      <c r="S694" s="16" t="str">
        <f>iferror(VLOOKUP(C694,'ФИО'!A:B,2,0),"учётный код не найден")</f>
        <v>Шапенков Геннадий Михайлович</v>
      </c>
      <c r="T694" s="11" t="str">
        <f t="shared" si="2"/>
        <v>915-00124.A - Tioga Pass_v1.1 (Гагар.ин)</v>
      </c>
      <c r="U694" s="8">
        <v>0.0</v>
      </c>
      <c r="V694" s="8">
        <v>0.0</v>
      </c>
      <c r="W694" s="17" t="str">
        <f t="shared" si="77"/>
        <v>Данные не заполены</v>
      </c>
      <c r="X694" s="14" t="str">
        <f t="shared" si="74"/>
        <v>Данные не заполены</v>
      </c>
      <c r="Y694" s="15">
        <f t="shared" si="75"/>
        <v>0</v>
      </c>
    </row>
    <row r="695" hidden="1">
      <c r="A695" s="7">
        <v>44118.83275780093</v>
      </c>
      <c r="B695" s="8" t="s">
        <v>89</v>
      </c>
      <c r="C695" s="8">
        <v>21852.0</v>
      </c>
      <c r="D695" s="8" t="s">
        <v>69</v>
      </c>
      <c r="F695" s="8" t="s">
        <v>79</v>
      </c>
      <c r="G695" s="8">
        <v>3234.0</v>
      </c>
      <c r="H695" s="8" t="s">
        <v>29</v>
      </c>
      <c r="I695" s="8" t="s">
        <v>135</v>
      </c>
      <c r="L695" s="8" t="s">
        <v>31</v>
      </c>
      <c r="M695" s="8" t="s">
        <v>34</v>
      </c>
      <c r="P695" s="9">
        <v>44118.0</v>
      </c>
      <c r="Q695" s="10">
        <v>0.04166666666424135</v>
      </c>
      <c r="R695" s="11" t="str">
        <f t="shared" si="1"/>
        <v>Настройка SEHO SEC</v>
      </c>
      <c r="S695" s="16" t="str">
        <f>iferror(VLOOKUP(C695,'ФИО'!A:B,2,0),"учётный код не найден")</f>
        <v>Пономарев Юрий Андреевич</v>
      </c>
      <c r="T695" s="13" t="str">
        <f t="shared" si="2"/>
        <v>915-00101.A - ПКД-9В АСЛБ.467249.107 (Квант)</v>
      </c>
      <c r="U695" s="8">
        <v>0.0</v>
      </c>
      <c r="V695" s="8">
        <v>0.0</v>
      </c>
      <c r="W695" s="17" t="str">
        <f t="shared" si="77"/>
        <v>Данные не заполены</v>
      </c>
      <c r="X695" s="14" t="str">
        <f t="shared" si="74"/>
        <v>Данные не заполены</v>
      </c>
      <c r="Y695" s="15">
        <f t="shared" si="75"/>
        <v>0</v>
      </c>
    </row>
    <row r="696" hidden="1">
      <c r="A696" s="7">
        <v>44119.622297766204</v>
      </c>
      <c r="B696" s="8" t="s">
        <v>89</v>
      </c>
      <c r="C696" s="8">
        <v>20015.0</v>
      </c>
      <c r="D696" s="8" t="s">
        <v>69</v>
      </c>
      <c r="F696" s="8" t="s">
        <v>206</v>
      </c>
      <c r="G696" s="8">
        <v>3234.0</v>
      </c>
      <c r="H696" s="8" t="s">
        <v>29</v>
      </c>
      <c r="I696" s="8" t="s">
        <v>135</v>
      </c>
      <c r="L696" s="8" t="s">
        <v>31</v>
      </c>
      <c r="M696" s="8" t="s">
        <v>34</v>
      </c>
      <c r="P696" s="9">
        <v>44119.0</v>
      </c>
      <c r="Q696" s="10">
        <v>0.020833333335758653</v>
      </c>
      <c r="R696" s="11" t="str">
        <f t="shared" si="1"/>
        <v>Настройка линии</v>
      </c>
      <c r="S696" s="16" t="str">
        <f>iferror(VLOOKUP(C696,'ФИО'!A:B,2,0),"учётный код не найден")</f>
        <v>Ельцов Андрей Николаевич</v>
      </c>
      <c r="T696" s="13" t="str">
        <f t="shared" si="2"/>
        <v>915-00101.A - ПКД-9В АСЛБ.467249.107 (Квант)</v>
      </c>
      <c r="U696" s="8">
        <v>0.0</v>
      </c>
      <c r="V696" s="8">
        <v>0.0</v>
      </c>
      <c r="W696" s="17" t="str">
        <f t="shared" si="77"/>
        <v>Данные не заполены</v>
      </c>
      <c r="X696" s="14" t="str">
        <f t="shared" si="74"/>
        <v>Данные не заполены</v>
      </c>
      <c r="Y696" s="15">
        <f t="shared" si="75"/>
        <v>0</v>
      </c>
    </row>
    <row r="697" hidden="1">
      <c r="A697" s="7">
        <v>44130.77705152778</v>
      </c>
      <c r="B697" s="8" t="s">
        <v>87</v>
      </c>
      <c r="C697" s="8">
        <v>20985.0</v>
      </c>
      <c r="D697" s="8" t="s">
        <v>69</v>
      </c>
      <c r="F697" s="8" t="s">
        <v>79</v>
      </c>
      <c r="G697" s="8">
        <v>3253.0</v>
      </c>
      <c r="H697" s="8" t="s">
        <v>29</v>
      </c>
      <c r="I697" s="8" t="s">
        <v>95</v>
      </c>
      <c r="L697" s="8" t="s">
        <v>31</v>
      </c>
      <c r="M697" s="8" t="s">
        <v>34</v>
      </c>
      <c r="P697" s="9">
        <v>44130.0</v>
      </c>
      <c r="Q697" s="10">
        <v>0.04166666666424135</v>
      </c>
      <c r="R697" s="11" t="str">
        <f t="shared" si="1"/>
        <v>Настройка SEHO SEC</v>
      </c>
      <c r="S697" s="12" t="str">
        <f>iferror(VLOOKUP(C697,'ФИО'!A:B,2,0),"учётный код не найден")</f>
        <v>Никонорова Наталия Владимировна</v>
      </c>
      <c r="T697" s="13" t="str">
        <f t="shared" si="2"/>
        <v>915-00095.A - ПКД-8В-1 АСЛБ.467249.108 (Квант)</v>
      </c>
      <c r="U697" s="8">
        <v>0.0</v>
      </c>
      <c r="V697" s="8">
        <v>0.0</v>
      </c>
      <c r="W697" s="17" t="str">
        <f t="shared" si="77"/>
        <v>Данные не заполены</v>
      </c>
      <c r="X697" s="14" t="str">
        <f t="shared" si="74"/>
        <v>Данные не заполены</v>
      </c>
      <c r="Y697" s="15">
        <f t="shared" si="75"/>
        <v>0</v>
      </c>
    </row>
    <row r="698" hidden="1">
      <c r="A698" s="7">
        <v>44130.77992850695</v>
      </c>
      <c r="B698" s="8" t="s">
        <v>87</v>
      </c>
      <c r="C698" s="8">
        <v>20985.0</v>
      </c>
      <c r="D698" s="8" t="s">
        <v>69</v>
      </c>
      <c r="F698" s="8" t="s">
        <v>79</v>
      </c>
      <c r="G698" s="8">
        <v>3252.0</v>
      </c>
      <c r="H698" s="8" t="s">
        <v>29</v>
      </c>
      <c r="I698" s="8" t="s">
        <v>96</v>
      </c>
      <c r="L698" s="8" t="s">
        <v>31</v>
      </c>
      <c r="M698" s="8" t="s">
        <v>34</v>
      </c>
      <c r="P698" s="9">
        <v>44130.0</v>
      </c>
      <c r="Q698" s="10">
        <v>0.027777777781011537</v>
      </c>
      <c r="R698" s="11" t="str">
        <f t="shared" si="1"/>
        <v>Настройка SEHO SEC</v>
      </c>
      <c r="S698" s="12" t="str">
        <f>iferror(VLOOKUP(C698,'ФИО'!A:B,2,0),"учётный код не найден")</f>
        <v>Никонорова Наталия Владимировна</v>
      </c>
      <c r="T698" s="13" t="str">
        <f t="shared" si="2"/>
        <v>915-00096.A - ПКД-8В-2 АСЛБ.467249.109</v>
      </c>
      <c r="U698" s="8">
        <v>0.0</v>
      </c>
      <c r="V698" s="8">
        <v>0.0</v>
      </c>
      <c r="W698" s="17" t="str">
        <f t="shared" si="77"/>
        <v>Данные не заполены</v>
      </c>
      <c r="X698" s="14" t="str">
        <f t="shared" si="74"/>
        <v>Данные не заполены</v>
      </c>
      <c r="Y698" s="15">
        <f t="shared" si="75"/>
        <v>0</v>
      </c>
    </row>
    <row r="699" hidden="1">
      <c r="A699" s="7">
        <v>44120.80792413194</v>
      </c>
      <c r="B699" s="8" t="s">
        <v>26</v>
      </c>
      <c r="C699" s="8">
        <v>20015.0</v>
      </c>
      <c r="D699" s="8" t="s">
        <v>69</v>
      </c>
      <c r="F699" s="8" t="s">
        <v>206</v>
      </c>
      <c r="G699" s="8">
        <v>3579.0</v>
      </c>
      <c r="H699" s="8" t="s">
        <v>29</v>
      </c>
      <c r="I699" s="8" t="s">
        <v>42</v>
      </c>
      <c r="L699" s="8" t="s">
        <v>31</v>
      </c>
      <c r="M699" s="8" t="s">
        <v>34</v>
      </c>
      <c r="P699" s="9">
        <v>44120.0</v>
      </c>
      <c r="Q699" s="10">
        <v>0.020833333335758653</v>
      </c>
      <c r="R699" s="11" t="str">
        <f t="shared" si="1"/>
        <v>Настройка линии</v>
      </c>
      <c r="S699" s="16" t="str">
        <f>iferror(VLOOKUP(C699,'ФИО'!A:B,2,0),"учётный код не найден")</f>
        <v>Ельцов Андрей Николаевич</v>
      </c>
      <c r="T699" s="13" t="str">
        <f t="shared" si="2"/>
        <v>915-00070.A - Модуль телематики ТМ1 v3 (Сознательные машины)</v>
      </c>
      <c r="U699" s="8">
        <v>0.0</v>
      </c>
      <c r="V699" s="8">
        <v>0.0</v>
      </c>
      <c r="W699" s="17" t="str">
        <f t="shared" si="77"/>
        <v>Данные не заполены</v>
      </c>
      <c r="X699" s="14" t="str">
        <f t="shared" si="74"/>
        <v>Данные не заполены</v>
      </c>
      <c r="Y699" s="15">
        <f t="shared" si="75"/>
        <v>0</v>
      </c>
    </row>
    <row r="700" hidden="1">
      <c r="A700" s="7">
        <v>44111.82181761574</v>
      </c>
      <c r="B700" s="8" t="s">
        <v>89</v>
      </c>
      <c r="C700" s="8">
        <v>21852.0</v>
      </c>
      <c r="D700" s="8" t="s">
        <v>69</v>
      </c>
      <c r="F700" s="8" t="s">
        <v>104</v>
      </c>
      <c r="L700" s="8" t="s">
        <v>31</v>
      </c>
      <c r="M700" s="8" t="s">
        <v>208</v>
      </c>
      <c r="N700" s="8"/>
      <c r="O700" s="8"/>
      <c r="P700" s="9">
        <v>44111.0</v>
      </c>
      <c r="Q700" s="10">
        <v>0.3125</v>
      </c>
      <c r="R700" s="11" t="str">
        <f t="shared" si="1"/>
        <v>Обучение</v>
      </c>
      <c r="S700" s="16" t="str">
        <f>iferror(VLOOKUP(C700,'ФИО'!A:B,2,0),"учётный код не найден")</f>
        <v>Пономарев Юрий Андреевич</v>
      </c>
      <c r="T700" s="13" t="str">
        <f t="shared" si="2"/>
        <v/>
      </c>
      <c r="W700" s="21" t="str">
        <f t="shared" si="77"/>
        <v>Данные не заполены</v>
      </c>
      <c r="X700" s="15" t="str">
        <f t="shared" si="74"/>
        <v>Данные не заполены</v>
      </c>
      <c r="Y700" s="15">
        <f t="shared" si="75"/>
        <v>0</v>
      </c>
    </row>
    <row r="701" hidden="1">
      <c r="A701" s="7">
        <v>44116.82061037037</v>
      </c>
      <c r="B701" s="8" t="s">
        <v>127</v>
      </c>
      <c r="C701" s="8">
        <v>22574.0</v>
      </c>
      <c r="D701" s="8" t="s">
        <v>27</v>
      </c>
      <c r="E701" s="8" t="s">
        <v>101</v>
      </c>
      <c r="G701" s="8">
        <v>3622.0</v>
      </c>
      <c r="H701" s="8" t="s">
        <v>29</v>
      </c>
      <c r="I701" s="8" t="s">
        <v>90</v>
      </c>
      <c r="L701" s="8" t="s">
        <v>31</v>
      </c>
      <c r="M701" s="8" t="s">
        <v>34</v>
      </c>
      <c r="P701" s="9">
        <v>44116.0</v>
      </c>
      <c r="Q701" s="10">
        <v>0.020833333335758653</v>
      </c>
      <c r="R701" s="11" t="str">
        <f t="shared" si="1"/>
        <v>Настройка принтера Prim</v>
      </c>
      <c r="S701" s="16" t="str">
        <f>iferror(VLOOKUP(C701,'ФИО'!A:B,2,0),"учётный код не найден")</f>
        <v>Шапенков Геннадий Михайлович</v>
      </c>
      <c r="T701" s="11" t="str">
        <f t="shared" si="2"/>
        <v>915-00124.A - Tioga Pass_v1.1 (Гагар.ин)</v>
      </c>
      <c r="U701" s="8">
        <v>1.0</v>
      </c>
      <c r="V701" s="8">
        <v>0.0</v>
      </c>
      <c r="W701" s="17" t="str">
        <f t="shared" si="77"/>
        <v>Данные не заполены</v>
      </c>
      <c r="X701" s="14" t="str">
        <f t="shared" si="74"/>
        <v>Данные не заполены</v>
      </c>
      <c r="Y701" s="15">
        <f t="shared" si="75"/>
        <v>0</v>
      </c>
    </row>
    <row r="702" hidden="1">
      <c r="A702" s="7">
        <v>44118.83736056713</v>
      </c>
      <c r="B702" s="8" t="s">
        <v>89</v>
      </c>
      <c r="C702" s="8">
        <v>21852.0</v>
      </c>
      <c r="D702" s="8" t="s">
        <v>69</v>
      </c>
      <c r="F702" s="8" t="s">
        <v>104</v>
      </c>
      <c r="L702" s="8" t="s">
        <v>31</v>
      </c>
      <c r="M702" s="8" t="s">
        <v>34</v>
      </c>
      <c r="P702" s="9">
        <v>44118.0</v>
      </c>
      <c r="Q702" s="10">
        <v>0.04166666666424135</v>
      </c>
      <c r="R702" s="11" t="str">
        <f t="shared" si="1"/>
        <v>Обучение</v>
      </c>
      <c r="S702" s="16" t="str">
        <f>iferror(VLOOKUP(C702,'ФИО'!A:B,2,0),"учётный код не найден")</f>
        <v>Пономарев Юрий Андреевич</v>
      </c>
      <c r="T702" s="13" t="str">
        <f t="shared" si="2"/>
        <v/>
      </c>
      <c r="W702" s="17" t="str">
        <f t="shared" si="77"/>
        <v>Данные не заполены</v>
      </c>
      <c r="X702" s="14" t="str">
        <f t="shared" si="74"/>
        <v>Данные не заполены</v>
      </c>
      <c r="Y702" s="15">
        <f t="shared" si="75"/>
        <v>0</v>
      </c>
    </row>
    <row r="703" hidden="1">
      <c r="A703" s="7">
        <v>44133.822498298614</v>
      </c>
      <c r="B703" s="8" t="s">
        <v>127</v>
      </c>
      <c r="C703" s="8">
        <v>22574.0</v>
      </c>
      <c r="D703" s="8" t="s">
        <v>27</v>
      </c>
      <c r="E703" s="8" t="s">
        <v>84</v>
      </c>
      <c r="G703" s="8">
        <v>3621.0</v>
      </c>
      <c r="H703" s="8" t="s">
        <v>29</v>
      </c>
      <c r="I703" s="8" t="s">
        <v>54</v>
      </c>
      <c r="L703" s="8" t="s">
        <v>31</v>
      </c>
      <c r="M703" s="8" t="s">
        <v>34</v>
      </c>
      <c r="P703" s="9">
        <v>44133.0</v>
      </c>
      <c r="Q703" s="10">
        <v>0.027777777781011537</v>
      </c>
      <c r="R703" s="11" t="str">
        <f t="shared" si="1"/>
        <v>Настройка принтера Sec</v>
      </c>
      <c r="S703" s="16" t="str">
        <f>iferror(VLOOKUP(C703,'ФИО'!A:B,2,0),"учётный код не найден")</f>
        <v>Шапенков Геннадий Михайлович</v>
      </c>
      <c r="T703" s="11" t="str">
        <f t="shared" si="2"/>
        <v>915-00121.A - Процессорный модуль РСЕН.469555.027 (КНС Групп)</v>
      </c>
      <c r="U703" s="8">
        <v>0.0</v>
      </c>
      <c r="V703" s="8">
        <v>0.0</v>
      </c>
      <c r="W703" s="17" t="str">
        <f t="shared" si="77"/>
        <v>Данные не заполены</v>
      </c>
      <c r="X703" s="14" t="str">
        <f t="shared" si="74"/>
        <v>Данные не заполены</v>
      </c>
      <c r="Y703" s="15">
        <f t="shared" si="75"/>
        <v>0</v>
      </c>
    </row>
    <row r="704" hidden="1">
      <c r="A704" s="7">
        <v>44119.82750777778</v>
      </c>
      <c r="B704" s="8" t="s">
        <v>89</v>
      </c>
      <c r="C704" s="8">
        <v>21852.0</v>
      </c>
      <c r="D704" s="8" t="s">
        <v>69</v>
      </c>
      <c r="F704" s="8" t="s">
        <v>104</v>
      </c>
      <c r="L704" s="8" t="s">
        <v>31</v>
      </c>
      <c r="M704" s="8" t="s">
        <v>208</v>
      </c>
      <c r="P704" s="9">
        <v>44119.0</v>
      </c>
      <c r="Q704" s="10">
        <v>0.125</v>
      </c>
      <c r="R704" s="11" t="str">
        <f t="shared" si="1"/>
        <v>Обучение</v>
      </c>
      <c r="S704" s="16" t="str">
        <f>iferror(VLOOKUP(C704,'ФИО'!A:B,2,0),"учётный код не найден")</f>
        <v>Пономарев Юрий Андреевич</v>
      </c>
      <c r="T704" s="13" t="str">
        <f t="shared" si="2"/>
        <v/>
      </c>
      <c r="U704" s="8">
        <v>0.0</v>
      </c>
      <c r="V704" s="8">
        <v>0.0</v>
      </c>
      <c r="W704" s="17" t="str">
        <f t="shared" si="77"/>
        <v>Данные не заполены</v>
      </c>
      <c r="X704" s="14" t="str">
        <f t="shared" si="74"/>
        <v>Данные не заполены</v>
      </c>
      <c r="Y704" s="15">
        <f t="shared" si="75"/>
        <v>0</v>
      </c>
    </row>
    <row r="705" hidden="1">
      <c r="A705" s="7">
        <v>44127.662371238424</v>
      </c>
      <c r="B705" s="8" t="s">
        <v>89</v>
      </c>
      <c r="C705" s="8">
        <v>20015.0</v>
      </c>
      <c r="D705" s="8" t="s">
        <v>27</v>
      </c>
      <c r="E705" s="8" t="s">
        <v>101</v>
      </c>
      <c r="G705" s="8">
        <v>3621.0</v>
      </c>
      <c r="H705" s="8" t="s">
        <v>29</v>
      </c>
      <c r="I705" s="8" t="s">
        <v>54</v>
      </c>
      <c r="L705" s="8" t="s">
        <v>31</v>
      </c>
      <c r="M705" s="8" t="s">
        <v>34</v>
      </c>
      <c r="P705" s="9">
        <v>44127.0</v>
      </c>
      <c r="Q705" s="10">
        <v>0.0625</v>
      </c>
      <c r="R705" s="11" t="str">
        <f t="shared" si="1"/>
        <v>Настройка принтера Prim</v>
      </c>
      <c r="S705" s="16" t="str">
        <f>iferror(VLOOKUP(C705,'ФИО'!A:B,2,0),"учётный код не найден")</f>
        <v>Ельцов Андрей Николаевич</v>
      </c>
      <c r="T705" s="13" t="str">
        <f t="shared" si="2"/>
        <v>915-00121.A - Процессорный модуль РСЕН.469555.027 (КНС Групп)</v>
      </c>
      <c r="U705" s="8">
        <v>0.0</v>
      </c>
      <c r="V705" s="8">
        <v>0.0</v>
      </c>
      <c r="W705" s="17" t="str">
        <f t="shared" si="77"/>
        <v>Данные не заполены</v>
      </c>
      <c r="X705" s="14" t="str">
        <f t="shared" si="74"/>
        <v>Данные не заполены</v>
      </c>
      <c r="Y705" s="15">
        <f t="shared" si="75"/>
        <v>0</v>
      </c>
    </row>
    <row r="706" hidden="1">
      <c r="A706" s="7">
        <v>44131.82599686342</v>
      </c>
      <c r="B706" s="8" t="s">
        <v>87</v>
      </c>
      <c r="C706" s="8">
        <v>20985.0</v>
      </c>
      <c r="D706" s="8" t="s">
        <v>69</v>
      </c>
      <c r="F706" s="8" t="s">
        <v>104</v>
      </c>
      <c r="L706" s="8" t="s">
        <v>31</v>
      </c>
      <c r="M706" s="8" t="s">
        <v>209</v>
      </c>
      <c r="P706" s="9">
        <v>44131.0</v>
      </c>
      <c r="Q706" s="10">
        <v>0.45833333333575865</v>
      </c>
      <c r="R706" s="11" t="str">
        <f t="shared" si="1"/>
        <v>Обучение</v>
      </c>
      <c r="S706" s="12" t="str">
        <f>iferror(VLOOKUP(C706,'ФИО'!A:B,2,0),"учётный код не найден")</f>
        <v>Никонорова Наталия Владимировна</v>
      </c>
      <c r="T706" s="13" t="str">
        <f t="shared" si="2"/>
        <v/>
      </c>
      <c r="U706" s="8">
        <v>0.0</v>
      </c>
      <c r="V706" s="8">
        <v>0.0</v>
      </c>
      <c r="W706" s="17" t="str">
        <f t="shared" si="77"/>
        <v>Данные не заполены</v>
      </c>
      <c r="X706" s="14" t="str">
        <f t="shared" si="74"/>
        <v>Данные не заполены</v>
      </c>
      <c r="Y706" s="15">
        <f t="shared" si="75"/>
        <v>0</v>
      </c>
    </row>
    <row r="707" hidden="1">
      <c r="A707" s="7">
        <v>44106.82322481481</v>
      </c>
      <c r="B707" s="8" t="s">
        <v>87</v>
      </c>
      <c r="C707" s="8">
        <v>20985.0</v>
      </c>
      <c r="D707" s="8" t="s">
        <v>69</v>
      </c>
      <c r="F707" s="8" t="s">
        <v>172</v>
      </c>
      <c r="L707" s="8" t="s">
        <v>31</v>
      </c>
      <c r="M707" s="8" t="s">
        <v>34</v>
      </c>
      <c r="N707" s="8"/>
      <c r="O707" s="8"/>
      <c r="P707" s="9">
        <v>44106.0</v>
      </c>
      <c r="Q707" s="10">
        <v>0.020833333335758653</v>
      </c>
      <c r="R707" s="13" t="str">
        <f t="shared" si="1"/>
        <v>Организационные работы</v>
      </c>
      <c r="S707" s="16" t="str">
        <f>iferror(VLOOKUP(C707,'ФИО'!A:B,2,0),"учётный код не найден")</f>
        <v>Никонорова Наталия Владимировна</v>
      </c>
      <c r="T707" s="13" t="str">
        <f t="shared" si="2"/>
        <v/>
      </c>
      <c r="W707" s="21" t="str">
        <f t="shared" si="77"/>
        <v>Данные не заполены</v>
      </c>
      <c r="X707" s="15" t="str">
        <f t="shared" si="74"/>
        <v>Данные не заполены</v>
      </c>
      <c r="Y707" s="15">
        <f t="shared" si="75"/>
        <v>0</v>
      </c>
    </row>
    <row r="708" hidden="1">
      <c r="A708" s="7">
        <v>44117.81621679398</v>
      </c>
      <c r="B708" s="8" t="s">
        <v>127</v>
      </c>
      <c r="C708" s="8">
        <v>22574.0</v>
      </c>
      <c r="D708" s="8" t="s">
        <v>27</v>
      </c>
      <c r="E708" s="8" t="s">
        <v>82</v>
      </c>
      <c r="G708" s="8">
        <v>3622.0</v>
      </c>
      <c r="H708" s="8" t="s">
        <v>29</v>
      </c>
      <c r="I708" s="8" t="s">
        <v>90</v>
      </c>
      <c r="L708" s="8" t="s">
        <v>31</v>
      </c>
      <c r="M708" s="8" t="s">
        <v>34</v>
      </c>
      <c r="P708" s="9">
        <v>44117.0</v>
      </c>
      <c r="Q708" s="10">
        <v>0.04166666666424135</v>
      </c>
      <c r="R708" s="11" t="str">
        <f t="shared" si="1"/>
        <v>Настройка установщиков</v>
      </c>
      <c r="S708" s="16" t="str">
        <f>iferror(VLOOKUP(C708,'ФИО'!A:B,2,0),"учётный код не найден")</f>
        <v>Шапенков Геннадий Михайлович</v>
      </c>
      <c r="T708" s="11" t="str">
        <f t="shared" si="2"/>
        <v>915-00124.A - Tioga Pass_v1.1 (Гагар.ин)</v>
      </c>
      <c r="U708" s="8">
        <v>1.0</v>
      </c>
      <c r="V708" s="8">
        <v>0.0</v>
      </c>
      <c r="W708" s="17">
        <v>19.0</v>
      </c>
      <c r="X708" s="14">
        <f t="shared" si="74"/>
        <v>0.5789473685</v>
      </c>
      <c r="Y708" s="15">
        <f t="shared" si="75"/>
        <v>0</v>
      </c>
    </row>
    <row r="709" ht="21.0" hidden="1" customHeight="1">
      <c r="A709" s="7">
        <v>44124.8181344676</v>
      </c>
      <c r="B709" s="8" t="s">
        <v>127</v>
      </c>
      <c r="C709" s="8">
        <v>22574.0</v>
      </c>
      <c r="D709" s="8" t="s">
        <v>27</v>
      </c>
      <c r="E709" s="8" t="s">
        <v>82</v>
      </c>
      <c r="G709" s="8">
        <v>3804.0</v>
      </c>
      <c r="H709" s="8" t="s">
        <v>45</v>
      </c>
      <c r="K709" s="8" t="s">
        <v>52</v>
      </c>
      <c r="L709" s="8" t="s">
        <v>31</v>
      </c>
      <c r="M709" s="8" t="s">
        <v>34</v>
      </c>
      <c r="P709" s="9">
        <v>44124.0</v>
      </c>
      <c r="Q709" s="10">
        <v>0.04166666666424135</v>
      </c>
      <c r="R709" s="11" t="str">
        <f t="shared" si="1"/>
        <v>Настройка установщиков</v>
      </c>
      <c r="S709" s="16" t="str">
        <f>iferror(VLOOKUP(C709,'ФИО'!A:B,2,0),"учётный код не найден")</f>
        <v>Шапенков Геннадий Михайлович</v>
      </c>
      <c r="T709" s="11" t="str">
        <f t="shared" si="2"/>
        <v>М17V2 (900-00018.D)_910-00023.H и ПУ 910-00012.I</v>
      </c>
      <c r="U709" s="8">
        <v>0.0</v>
      </c>
      <c r="V709" s="8">
        <v>0.0</v>
      </c>
      <c r="W709" s="17" t="str">
        <f t="shared" ref="W709:W710" si="78">IFERROR((((38412/(ifs(O709&lt;35,35,O709&gt;34,O709)/N709)*0.7))),"Данные не заполены")</f>
        <v>Данные не заполены</v>
      </c>
      <c r="X709" s="14" t="str">
        <f t="shared" si="74"/>
        <v>Данные не заполены</v>
      </c>
      <c r="Y709" s="15">
        <f t="shared" si="75"/>
        <v>0</v>
      </c>
    </row>
    <row r="710" ht="23.25" hidden="1" customHeight="1">
      <c r="A710" s="7">
        <v>44131.33656782407</v>
      </c>
      <c r="B710" s="8" t="s">
        <v>76</v>
      </c>
      <c r="C710" s="8">
        <v>21852.0</v>
      </c>
      <c r="D710" s="8" t="s">
        <v>69</v>
      </c>
      <c r="F710" s="8" t="s">
        <v>172</v>
      </c>
      <c r="L710" s="8" t="s">
        <v>31</v>
      </c>
      <c r="M710" s="8" t="s">
        <v>210</v>
      </c>
      <c r="P710" s="9">
        <v>44130.0</v>
      </c>
      <c r="Q710" s="10">
        <v>0.05208333333575865</v>
      </c>
      <c r="R710" s="11" t="str">
        <f t="shared" si="1"/>
        <v>Организационные работы</v>
      </c>
      <c r="S710" s="12" t="str">
        <f>iferror(VLOOKUP(C710,'ФИО'!A:B,2,0),"учётный код не найден")</f>
        <v>Пономарев Юрий Андреевич</v>
      </c>
      <c r="T710" s="13" t="str">
        <f t="shared" si="2"/>
        <v/>
      </c>
      <c r="W710" s="17" t="str">
        <f t="shared" si="78"/>
        <v>Данные не заполены</v>
      </c>
      <c r="X710" s="14" t="str">
        <f t="shared" si="74"/>
        <v>Данные не заполены</v>
      </c>
      <c r="Y710" s="15">
        <f t="shared" si="75"/>
        <v>0</v>
      </c>
    </row>
    <row r="711" ht="21.0" hidden="1" customHeight="1">
      <c r="A711" s="7">
        <v>44122.8286121875</v>
      </c>
      <c r="B711" s="8" t="s">
        <v>87</v>
      </c>
      <c r="C711" s="8">
        <v>21928.0</v>
      </c>
      <c r="D711" s="8" t="s">
        <v>69</v>
      </c>
      <c r="F711" s="8" t="s">
        <v>169</v>
      </c>
      <c r="G711" s="8">
        <v>3750.0</v>
      </c>
      <c r="H711" s="8" t="s">
        <v>45</v>
      </c>
      <c r="K711" s="8" t="s">
        <v>46</v>
      </c>
      <c r="L711" s="8" t="s">
        <v>31</v>
      </c>
      <c r="M711" s="8" t="s">
        <v>34</v>
      </c>
      <c r="P711" s="9">
        <v>44122.0</v>
      </c>
      <c r="Q711" s="10">
        <v>0.04166666666424135</v>
      </c>
      <c r="R711" s="11" t="str">
        <f t="shared" si="1"/>
        <v>Отладка программы</v>
      </c>
      <c r="S711" s="16" t="str">
        <f>iferror(VLOOKUP(C711,'ФИО'!A:B,2,0),"учётный код не найден")</f>
        <v>Савченко Виктория Андреевна</v>
      </c>
      <c r="T711" s="13" t="str">
        <f t="shared" si="2"/>
        <v>ПУ 910-00349.A "Печатный узел основного блока E96 4LIN"</v>
      </c>
      <c r="U711" s="8">
        <v>0.0</v>
      </c>
      <c r="V711" s="8">
        <v>0.0</v>
      </c>
      <c r="X711" s="14" t="str">
        <f t="shared" si="74"/>
        <v>Данные не заполены</v>
      </c>
      <c r="Y711" s="15">
        <f t="shared" si="75"/>
        <v>0</v>
      </c>
    </row>
    <row r="712" hidden="1">
      <c r="A712" s="7">
        <v>44122.79736128473</v>
      </c>
      <c r="B712" s="8" t="s">
        <v>87</v>
      </c>
      <c r="C712" s="8">
        <v>21426.0</v>
      </c>
      <c r="D712" s="8" t="s">
        <v>69</v>
      </c>
      <c r="F712" s="8" t="s">
        <v>169</v>
      </c>
      <c r="G712" s="8">
        <v>3750.0</v>
      </c>
      <c r="H712" s="8" t="s">
        <v>45</v>
      </c>
      <c r="K712" s="8" t="s">
        <v>46</v>
      </c>
      <c r="L712" s="8" t="s">
        <v>31</v>
      </c>
      <c r="M712" s="8" t="s">
        <v>34</v>
      </c>
      <c r="P712" s="9">
        <v>44122.0</v>
      </c>
      <c r="Q712" s="10">
        <v>0.020833333335758653</v>
      </c>
      <c r="R712" s="11" t="str">
        <f t="shared" si="1"/>
        <v>Отладка программы</v>
      </c>
      <c r="S712" s="16" t="str">
        <f>iferror(VLOOKUP(C712,'ФИО'!A:B,2,0),"учётный код не найден")</f>
        <v>Скибинский Антон Германович</v>
      </c>
      <c r="T712" s="13" t="str">
        <f t="shared" si="2"/>
        <v>ПУ 910-00349.A "Печатный узел основного блока E96 4LIN"</v>
      </c>
      <c r="U712" s="8">
        <v>0.0</v>
      </c>
      <c r="V712" s="8">
        <v>0.0</v>
      </c>
      <c r="X712" s="14" t="str">
        <f t="shared" si="74"/>
        <v>Данные не заполены</v>
      </c>
      <c r="Y712" s="15">
        <f t="shared" si="75"/>
        <v>0</v>
      </c>
    </row>
    <row r="713" hidden="1">
      <c r="A713" s="7">
        <v>44111.27244984954</v>
      </c>
      <c r="B713" s="8" t="s">
        <v>94</v>
      </c>
      <c r="C713" s="8">
        <v>22131.0</v>
      </c>
      <c r="D713" s="8" t="s">
        <v>27</v>
      </c>
      <c r="E713" s="8" t="s">
        <v>85</v>
      </c>
      <c r="G713" s="8">
        <v>3234.0</v>
      </c>
      <c r="H713" s="8" t="s">
        <v>29</v>
      </c>
      <c r="I713" s="8" t="s">
        <v>135</v>
      </c>
      <c r="L713" s="8" t="s">
        <v>31</v>
      </c>
      <c r="M713" s="8" t="s">
        <v>34</v>
      </c>
      <c r="N713" s="8"/>
      <c r="O713" s="8"/>
      <c r="P713" s="9">
        <v>44110.0</v>
      </c>
      <c r="Q713" s="10">
        <v>0.013888888890505768</v>
      </c>
      <c r="R713" s="11" t="str">
        <f t="shared" si="1"/>
        <v>Очистка трафаретного принтера</v>
      </c>
      <c r="S713" s="16" t="str">
        <f>iferror(VLOOKUP(C713,'ФИО'!A:B,2,0),"учётный код не найден")</f>
        <v>Стосик Степан Владимирович</v>
      </c>
      <c r="T713" s="13" t="str">
        <f t="shared" si="2"/>
        <v>915-00101.A - ПКД-9В АСЛБ.467249.107 (Квант)</v>
      </c>
      <c r="U713" s="8">
        <v>0.0</v>
      </c>
      <c r="V713" s="8">
        <v>0.0</v>
      </c>
      <c r="W713" s="21" t="str">
        <f t="shared" ref="W713:W715" si="79">IFERROR((((38412/(ifs(O713&lt;35,35,O713&gt;34,O713)/N713)*0.7))),"Данные не заполены")</f>
        <v>Данные не заполены</v>
      </c>
      <c r="X713" s="15" t="str">
        <f t="shared" si="74"/>
        <v>Данные не заполены</v>
      </c>
      <c r="Y713" s="15">
        <f t="shared" si="75"/>
        <v>0</v>
      </c>
    </row>
    <row r="714" hidden="1">
      <c r="A714" s="7">
        <v>44111.71384523148</v>
      </c>
      <c r="B714" s="8" t="s">
        <v>89</v>
      </c>
      <c r="C714" s="8">
        <v>22011.0</v>
      </c>
      <c r="D714" s="8" t="s">
        <v>27</v>
      </c>
      <c r="E714" s="8" t="s">
        <v>85</v>
      </c>
      <c r="G714" s="8">
        <v>3580.0</v>
      </c>
      <c r="H714" s="8" t="s">
        <v>29</v>
      </c>
      <c r="I714" s="8" t="s">
        <v>145</v>
      </c>
      <c r="L714" s="8" t="s">
        <v>31</v>
      </c>
      <c r="M714" s="8" t="s">
        <v>34</v>
      </c>
      <c r="N714" s="8"/>
      <c r="O714" s="8"/>
      <c r="P714" s="9">
        <v>44111.0</v>
      </c>
      <c r="Q714" s="10">
        <v>0.027777777781011537</v>
      </c>
      <c r="R714" s="11" t="str">
        <f t="shared" si="1"/>
        <v>Очистка трафаретного принтера</v>
      </c>
      <c r="S714" s="16" t="str">
        <f>iferror(VLOOKUP(C714,'ФИО'!A:B,2,0),"учётный код не найден")</f>
        <v>Сергеев Алексей Андреевич</v>
      </c>
      <c r="T714" s="13" t="str">
        <f t="shared" si="2"/>
        <v>XR (OÜ KLARBERG)</v>
      </c>
      <c r="U714" s="8">
        <v>2.0</v>
      </c>
      <c r="V714" s="8">
        <v>0.0</v>
      </c>
      <c r="W714" s="21" t="str">
        <f t="shared" si="79"/>
        <v>Данные не заполены</v>
      </c>
      <c r="X714" s="15" t="str">
        <f t="shared" si="74"/>
        <v>Данные не заполены</v>
      </c>
      <c r="Y714" s="15">
        <f t="shared" si="75"/>
        <v>0</v>
      </c>
    </row>
    <row r="715" hidden="1">
      <c r="A715" s="7">
        <v>44112.323818819445</v>
      </c>
      <c r="B715" s="8" t="s">
        <v>126</v>
      </c>
      <c r="C715" s="8">
        <v>22574.0</v>
      </c>
      <c r="D715" s="8" t="s">
        <v>27</v>
      </c>
      <c r="E715" s="8" t="s">
        <v>85</v>
      </c>
      <c r="G715" s="8">
        <v>3580.0</v>
      </c>
      <c r="H715" s="8" t="s">
        <v>29</v>
      </c>
      <c r="I715" s="8" t="s">
        <v>145</v>
      </c>
      <c r="L715" s="8" t="s">
        <v>31</v>
      </c>
      <c r="M715" s="8" t="s">
        <v>34</v>
      </c>
      <c r="N715" s="8"/>
      <c r="O715" s="8"/>
      <c r="P715" s="9">
        <v>44111.0</v>
      </c>
      <c r="Q715" s="10">
        <v>0.020833333335758653</v>
      </c>
      <c r="R715" s="11" t="str">
        <f t="shared" si="1"/>
        <v>Очистка трафаретного принтера</v>
      </c>
      <c r="S715" s="16" t="str">
        <f>iferror(VLOOKUP(C715,'ФИО'!A:B,2,0),"учётный код не найден")</f>
        <v>Шапенков Геннадий Михайлович</v>
      </c>
      <c r="T715" s="13" t="str">
        <f t="shared" si="2"/>
        <v>XR (OÜ KLARBERG)</v>
      </c>
      <c r="U715" s="8">
        <v>0.0</v>
      </c>
      <c r="V715" s="8">
        <v>0.0</v>
      </c>
      <c r="W715" s="21" t="str">
        <f t="shared" si="79"/>
        <v>Данные не заполены</v>
      </c>
      <c r="X715" s="15" t="str">
        <f t="shared" si="74"/>
        <v>Данные не заполены</v>
      </c>
      <c r="Y715" s="15">
        <f t="shared" si="75"/>
        <v>0</v>
      </c>
    </row>
    <row r="716" hidden="1">
      <c r="A716" s="7">
        <v>44118.32858155093</v>
      </c>
      <c r="B716" s="8" t="s">
        <v>94</v>
      </c>
      <c r="C716" s="8">
        <v>22575.0</v>
      </c>
      <c r="D716" s="8" t="s">
        <v>27</v>
      </c>
      <c r="E716" s="8" t="s">
        <v>82</v>
      </c>
      <c r="G716" s="8">
        <v>3622.0</v>
      </c>
      <c r="H716" s="8" t="s">
        <v>29</v>
      </c>
      <c r="I716" s="8" t="s">
        <v>90</v>
      </c>
      <c r="L716" s="8" t="s">
        <v>31</v>
      </c>
      <c r="M716" s="8" t="s">
        <v>34</v>
      </c>
      <c r="P716" s="9">
        <v>44117.0</v>
      </c>
      <c r="Q716" s="10">
        <v>0.04166666666424135</v>
      </c>
      <c r="R716" s="11" t="str">
        <f t="shared" si="1"/>
        <v>Настройка установщиков</v>
      </c>
      <c r="S716" s="16" t="str">
        <f>iferror(VLOOKUP(C716,'ФИО'!A:B,2,0),"учётный код не найден")</f>
        <v>Куликов Виктор Алексеевич</v>
      </c>
      <c r="T716" s="13" t="str">
        <f t="shared" si="2"/>
        <v>915-00124.A - Tioga Pass_v1.1 (Гагар.ин)</v>
      </c>
      <c r="U716" s="8">
        <v>2.0</v>
      </c>
      <c r="V716" s="8">
        <v>0.0</v>
      </c>
      <c r="W716" s="17">
        <v>19.0</v>
      </c>
      <c r="X716" s="14">
        <f t="shared" si="74"/>
        <v>1.157894737</v>
      </c>
      <c r="Y716" s="15">
        <f t="shared" si="75"/>
        <v>0</v>
      </c>
    </row>
    <row r="717" hidden="1">
      <c r="A717" s="7">
        <v>44118.83421497685</v>
      </c>
      <c r="B717" s="8" t="s">
        <v>89</v>
      </c>
      <c r="C717" s="8">
        <v>22011.0</v>
      </c>
      <c r="D717" s="8" t="s">
        <v>27</v>
      </c>
      <c r="E717" s="8" t="s">
        <v>85</v>
      </c>
      <c r="G717" s="8">
        <v>3622.0</v>
      </c>
      <c r="H717" s="8" t="s">
        <v>29</v>
      </c>
      <c r="I717" s="8" t="s">
        <v>90</v>
      </c>
      <c r="L717" s="8" t="s">
        <v>31</v>
      </c>
      <c r="M717" s="8" t="s">
        <v>34</v>
      </c>
      <c r="P717" s="9">
        <v>44118.0</v>
      </c>
      <c r="Q717" s="10">
        <v>0.027777777781011537</v>
      </c>
      <c r="R717" s="11" t="str">
        <f t="shared" si="1"/>
        <v>Очистка трафаретного принтера</v>
      </c>
      <c r="S717" s="16" t="str">
        <f>iferror(VLOOKUP(C717,'ФИО'!A:B,2,0),"учётный код не найден")</f>
        <v>Сергеев Алексей Андреевич</v>
      </c>
      <c r="T717" s="13" t="str">
        <f t="shared" si="2"/>
        <v>915-00124.A - Tioga Pass_v1.1 (Гагар.ин)</v>
      </c>
      <c r="U717" s="8">
        <v>2.0</v>
      </c>
      <c r="V717" s="8">
        <v>0.0</v>
      </c>
      <c r="W717" s="17" t="str">
        <f t="shared" ref="W717:W738" si="80">IFERROR((((38412/(ifs(O717&lt;35,35,O717&gt;34,O717)/N717)*0.7))),"Данные не заполены")</f>
        <v>Данные не заполены</v>
      </c>
      <c r="X717" s="14" t="str">
        <f t="shared" si="74"/>
        <v>Данные не заполены</v>
      </c>
      <c r="Y717" s="15">
        <f t="shared" si="75"/>
        <v>0</v>
      </c>
    </row>
    <row r="718" hidden="1">
      <c r="A718" s="7">
        <v>44118.32952164352</v>
      </c>
      <c r="B718" s="8" t="s">
        <v>94</v>
      </c>
      <c r="C718" s="8">
        <v>22575.0</v>
      </c>
      <c r="D718" s="8" t="s">
        <v>27</v>
      </c>
      <c r="E718" s="8" t="s">
        <v>88</v>
      </c>
      <c r="G718" s="8">
        <v>3622.0</v>
      </c>
      <c r="H718" s="8" t="s">
        <v>29</v>
      </c>
      <c r="I718" s="8" t="s">
        <v>90</v>
      </c>
      <c r="L718" s="8" t="s">
        <v>37</v>
      </c>
      <c r="P718" s="9">
        <v>44117.0</v>
      </c>
      <c r="Q718" s="10">
        <v>0.125</v>
      </c>
      <c r="R718" s="11" t="str">
        <f t="shared" si="1"/>
        <v>Сборка на линии Sec</v>
      </c>
      <c r="S718" s="16" t="str">
        <f>iferror(VLOOKUP(C718,'ФИО'!A:B,2,0),"учётный код не найден")</f>
        <v>Куликов Виктор Алексеевич</v>
      </c>
      <c r="T718" s="13" t="str">
        <f t="shared" si="2"/>
        <v>915-00124.A - Tioga Pass_v1.1 (Гагар.ин)</v>
      </c>
      <c r="U718" s="8">
        <v>0.0</v>
      </c>
      <c r="V718" s="8">
        <v>0.0</v>
      </c>
      <c r="W718" s="17" t="str">
        <f t="shared" si="80"/>
        <v>Данные не заполены</v>
      </c>
      <c r="X718" s="14" t="str">
        <f t="shared" si="74"/>
        <v>Данные не заполены</v>
      </c>
      <c r="Y718" s="15">
        <f t="shared" si="75"/>
        <v>0</v>
      </c>
    </row>
    <row r="719" hidden="1">
      <c r="A719" s="7">
        <v>44108.33008476852</v>
      </c>
      <c r="B719" s="8" t="s">
        <v>38</v>
      </c>
      <c r="C719" s="8">
        <v>21522.0</v>
      </c>
      <c r="D719" s="8" t="s">
        <v>69</v>
      </c>
      <c r="F719" s="8" t="s">
        <v>72</v>
      </c>
      <c r="G719" s="8">
        <v>3579.0</v>
      </c>
      <c r="H719" s="8" t="s">
        <v>29</v>
      </c>
      <c r="I719" s="8" t="s">
        <v>42</v>
      </c>
      <c r="L719" s="8" t="s">
        <v>37</v>
      </c>
      <c r="P719" s="9">
        <v>44107.0</v>
      </c>
      <c r="Q719" s="10">
        <v>0.08333333333575865</v>
      </c>
      <c r="R719" s="11" t="str">
        <f t="shared" si="1"/>
        <v>Пайка компонентов PRI</v>
      </c>
      <c r="S719" s="16" t="str">
        <f>iferror(VLOOKUP(C719,'ФИО'!A:B,2,0),"учётный код не найден")</f>
        <v>Исаев Никита Дмитриевич</v>
      </c>
      <c r="T719" s="13" t="str">
        <f t="shared" si="2"/>
        <v>915-00070.A - Модуль телематики ТМ1 v3 (Сознательные машины)</v>
      </c>
      <c r="U719" s="8">
        <v>0.0</v>
      </c>
      <c r="V719" s="8">
        <v>0.0</v>
      </c>
      <c r="W719" s="21" t="str">
        <f t="shared" si="80"/>
        <v>Данные не заполены</v>
      </c>
      <c r="X719" s="15" t="str">
        <f t="shared" si="74"/>
        <v>Данные не заполены</v>
      </c>
      <c r="Y719" s="15">
        <f t="shared" si="75"/>
        <v>0</v>
      </c>
    </row>
    <row r="720" hidden="1">
      <c r="A720" s="7">
        <v>44109.33071700232</v>
      </c>
      <c r="B720" s="8" t="s">
        <v>38</v>
      </c>
      <c r="C720" s="8">
        <v>21522.0</v>
      </c>
      <c r="D720" s="8" t="s">
        <v>69</v>
      </c>
      <c r="F720" s="8" t="s">
        <v>72</v>
      </c>
      <c r="G720" s="8">
        <v>3579.0</v>
      </c>
      <c r="H720" s="8" t="s">
        <v>29</v>
      </c>
      <c r="I720" s="8" t="s">
        <v>42</v>
      </c>
      <c r="L720" s="8" t="s">
        <v>37</v>
      </c>
      <c r="P720" s="9">
        <v>44108.0</v>
      </c>
      <c r="Q720" s="10">
        <v>0.125</v>
      </c>
      <c r="R720" s="11" t="str">
        <f t="shared" si="1"/>
        <v>Пайка компонентов PRI</v>
      </c>
      <c r="S720" s="16" t="str">
        <f>iferror(VLOOKUP(C720,'ФИО'!A:B,2,0),"учётный код не найден")</f>
        <v>Исаев Никита Дмитриевич</v>
      </c>
      <c r="T720" s="13" t="str">
        <f t="shared" si="2"/>
        <v>915-00070.A - Модуль телематики ТМ1 v3 (Сознательные машины)</v>
      </c>
      <c r="U720" s="8">
        <v>0.0</v>
      </c>
      <c r="V720" s="8">
        <v>0.0</v>
      </c>
      <c r="W720" s="21" t="str">
        <f t="shared" si="80"/>
        <v>Данные не заполены</v>
      </c>
      <c r="X720" s="15" t="str">
        <f t="shared" si="74"/>
        <v>Данные не заполены</v>
      </c>
      <c r="Y720" s="15">
        <f t="shared" si="75"/>
        <v>0</v>
      </c>
    </row>
    <row r="721" hidden="1">
      <c r="A721" s="7">
        <v>44131.320909710645</v>
      </c>
      <c r="B721" s="8" t="s">
        <v>76</v>
      </c>
      <c r="C721" s="8">
        <v>21954.0</v>
      </c>
      <c r="D721" s="8" t="s">
        <v>27</v>
      </c>
      <c r="E721" s="8" t="s">
        <v>85</v>
      </c>
      <c r="G721" s="8">
        <v>3793.0</v>
      </c>
      <c r="H721" s="8" t="s">
        <v>29</v>
      </c>
      <c r="I721" s="8" t="s">
        <v>163</v>
      </c>
      <c r="L721" s="8" t="s">
        <v>31</v>
      </c>
      <c r="M721" s="8" t="s">
        <v>34</v>
      </c>
      <c r="P721" s="9">
        <v>44130.0</v>
      </c>
      <c r="Q721" s="10">
        <v>0.013888888890505768</v>
      </c>
      <c r="R721" s="11" t="str">
        <f t="shared" si="1"/>
        <v>Очистка трафаретного принтера</v>
      </c>
      <c r="S721" s="12" t="str">
        <f>iferror(VLOOKUP(C721,'ФИО'!A:B,2,0),"учётный код не найден")</f>
        <v>Александров Александр Викторович</v>
      </c>
      <c r="T721" s="13" t="str">
        <f t="shared" si="2"/>
        <v>915-00068.A - uklsip(s)220_v3.01 (Гефест)</v>
      </c>
      <c r="U721" s="8">
        <v>1.0</v>
      </c>
      <c r="V721" s="8">
        <v>0.0</v>
      </c>
      <c r="W721" s="17" t="str">
        <f t="shared" si="80"/>
        <v>Данные не заполены</v>
      </c>
      <c r="X721" s="14" t="str">
        <f t="shared" si="74"/>
        <v>Данные не заполены</v>
      </c>
      <c r="Y721" s="15">
        <f t="shared" si="75"/>
        <v>0</v>
      </c>
    </row>
    <row r="722" hidden="1">
      <c r="A722" s="7">
        <v>44131.826613425925</v>
      </c>
      <c r="B722" s="8" t="s">
        <v>87</v>
      </c>
      <c r="C722" s="8">
        <v>21928.0</v>
      </c>
      <c r="D722" s="8" t="s">
        <v>27</v>
      </c>
      <c r="E722" s="8" t="s">
        <v>85</v>
      </c>
      <c r="G722" s="8">
        <v>3793.0</v>
      </c>
      <c r="H722" s="8" t="s">
        <v>29</v>
      </c>
      <c r="I722" s="8" t="s">
        <v>163</v>
      </c>
      <c r="L722" s="8" t="s">
        <v>31</v>
      </c>
      <c r="M722" s="8" t="s">
        <v>34</v>
      </c>
      <c r="P722" s="9">
        <v>44131.0</v>
      </c>
      <c r="Q722" s="10">
        <v>0.020833333335758653</v>
      </c>
      <c r="R722" s="11" t="str">
        <f t="shared" si="1"/>
        <v>Очистка трафаретного принтера</v>
      </c>
      <c r="S722" s="12" t="str">
        <f>iferror(VLOOKUP(C722,'ФИО'!A:B,2,0),"учётный код не найден")</f>
        <v>Савченко Виктория Андреевна</v>
      </c>
      <c r="T722" s="13" t="str">
        <f t="shared" si="2"/>
        <v>915-00068.A - uklsip(s)220_v3.01 (Гефест)</v>
      </c>
      <c r="U722" s="8">
        <v>0.0</v>
      </c>
      <c r="V722" s="8">
        <v>0.0</v>
      </c>
      <c r="W722" s="17" t="str">
        <f t="shared" si="80"/>
        <v>Данные не заполены</v>
      </c>
      <c r="X722" s="14" t="str">
        <f t="shared" si="74"/>
        <v>Данные не заполены</v>
      </c>
      <c r="Y722" s="15">
        <f t="shared" si="75"/>
        <v>0</v>
      </c>
    </row>
    <row r="723" hidden="1">
      <c r="A723" s="7">
        <v>44106.82241988426</v>
      </c>
      <c r="B723" s="8" t="s">
        <v>87</v>
      </c>
      <c r="C723" s="8">
        <v>20985.0</v>
      </c>
      <c r="D723" s="8" t="s">
        <v>69</v>
      </c>
      <c r="F723" s="8" t="s">
        <v>72</v>
      </c>
      <c r="G723" s="8">
        <v>3047.0</v>
      </c>
      <c r="H723" s="8" t="s">
        <v>29</v>
      </c>
      <c r="I723" s="8" t="s">
        <v>77</v>
      </c>
      <c r="L723" s="8" t="s">
        <v>37</v>
      </c>
      <c r="P723" s="9">
        <v>44106.0</v>
      </c>
      <c r="Q723" s="10">
        <v>0.29166666666424135</v>
      </c>
      <c r="R723" s="13" t="str">
        <f t="shared" si="1"/>
        <v>Пайка компонентов PRI</v>
      </c>
      <c r="S723" s="16" t="str">
        <f>iferror(VLOOKUP(C723,'ФИО'!A:B,2,0),"учётный код не найден")</f>
        <v>Никонорова Наталия Владимировна</v>
      </c>
      <c r="T723" s="13" t="str">
        <f t="shared" si="2"/>
        <v>915-00081.A-Модуль Трик8 (Кибертех)</v>
      </c>
      <c r="U723" s="8">
        <v>0.0</v>
      </c>
      <c r="V723" s="8">
        <v>0.0</v>
      </c>
      <c r="W723" s="21" t="str">
        <f t="shared" si="80"/>
        <v>Данные не заполены</v>
      </c>
      <c r="X723" s="15" t="str">
        <f t="shared" si="74"/>
        <v>Данные не заполены</v>
      </c>
      <c r="Y723" s="15">
        <f t="shared" si="75"/>
        <v>0</v>
      </c>
    </row>
    <row r="724" hidden="1">
      <c r="A724" s="7">
        <v>44110.14995637731</v>
      </c>
      <c r="B724" s="8" t="s">
        <v>94</v>
      </c>
      <c r="C724" s="8">
        <v>20985.0</v>
      </c>
      <c r="D724" s="8" t="s">
        <v>69</v>
      </c>
      <c r="F724" s="8" t="s">
        <v>72</v>
      </c>
      <c r="G724" s="8">
        <v>3233.0</v>
      </c>
      <c r="H724" s="8" t="s">
        <v>29</v>
      </c>
      <c r="I724" s="8" t="s">
        <v>60</v>
      </c>
      <c r="L724" s="8" t="s">
        <v>37</v>
      </c>
      <c r="P724" s="9">
        <v>44109.0</v>
      </c>
      <c r="Q724" s="10">
        <v>0.010416666664241347</v>
      </c>
      <c r="R724" s="11" t="str">
        <f t="shared" si="1"/>
        <v>Пайка компонентов PRI</v>
      </c>
      <c r="S724" s="16" t="str">
        <f>iferror(VLOOKUP(C724,'ФИО'!A:B,2,0),"учётный код не найден")</f>
        <v>Никонорова Наталия Владимировна</v>
      </c>
      <c r="T724" s="13" t="str">
        <f t="shared" si="2"/>
        <v>915-00102.A - ПБОК-2В АСЛБ.465285.013 (Квант)</v>
      </c>
      <c r="U724" s="8">
        <v>8.0</v>
      </c>
      <c r="V724" s="8">
        <v>0.0</v>
      </c>
      <c r="W724" s="21" t="str">
        <f t="shared" si="80"/>
        <v>Данные не заполены</v>
      </c>
      <c r="X724" s="15" t="str">
        <f t="shared" si="74"/>
        <v>Данные не заполены</v>
      </c>
      <c r="Y724" s="15">
        <f t="shared" si="75"/>
        <v>0</v>
      </c>
    </row>
    <row r="725" hidden="1">
      <c r="A725" s="7">
        <v>44110.31841947917</v>
      </c>
      <c r="B725" s="8" t="s">
        <v>94</v>
      </c>
      <c r="C725" s="8">
        <v>20985.0</v>
      </c>
      <c r="D725" s="8" t="s">
        <v>69</v>
      </c>
      <c r="F725" s="8" t="s">
        <v>72</v>
      </c>
      <c r="G725" s="8">
        <v>3047.0</v>
      </c>
      <c r="H725" s="8" t="s">
        <v>29</v>
      </c>
      <c r="I725" s="8" t="s">
        <v>77</v>
      </c>
      <c r="L725" s="8" t="s">
        <v>37</v>
      </c>
      <c r="P725" s="9">
        <v>44109.0</v>
      </c>
      <c r="Q725" s="10">
        <v>0.06597222221898846</v>
      </c>
      <c r="R725" s="11" t="str">
        <f t="shared" si="1"/>
        <v>Пайка компонентов PRI</v>
      </c>
      <c r="S725" s="16" t="str">
        <f>iferror(VLOOKUP(C725,'ФИО'!A:B,2,0),"учётный код не найден")</f>
        <v>Никонорова Наталия Владимировна</v>
      </c>
      <c r="T725" s="13" t="str">
        <f t="shared" si="2"/>
        <v>915-00081.A-Модуль Трик8 (Кибертех)</v>
      </c>
      <c r="U725" s="8">
        <v>0.0</v>
      </c>
      <c r="V725" s="8">
        <v>0.0</v>
      </c>
      <c r="W725" s="21" t="str">
        <f t="shared" si="80"/>
        <v>Данные не заполены</v>
      </c>
      <c r="X725" s="15" t="str">
        <f t="shared" si="74"/>
        <v>Данные не заполены</v>
      </c>
      <c r="Y725" s="15">
        <f t="shared" si="75"/>
        <v>0</v>
      </c>
    </row>
    <row r="726" hidden="1">
      <c r="A726" s="7">
        <v>44111.271014722224</v>
      </c>
      <c r="B726" s="8" t="s">
        <v>94</v>
      </c>
      <c r="C726" s="8">
        <v>22131.0</v>
      </c>
      <c r="D726" s="8" t="s">
        <v>69</v>
      </c>
      <c r="F726" s="8" t="s">
        <v>72</v>
      </c>
      <c r="G726" s="8">
        <v>3047.0</v>
      </c>
      <c r="H726" s="8" t="s">
        <v>29</v>
      </c>
      <c r="I726" s="8" t="s">
        <v>77</v>
      </c>
      <c r="L726" s="8" t="s">
        <v>37</v>
      </c>
      <c r="P726" s="9">
        <v>44110.0</v>
      </c>
      <c r="Q726" s="10">
        <v>0.08333333333333333</v>
      </c>
      <c r="R726" s="11" t="str">
        <f t="shared" si="1"/>
        <v>Пайка компонентов PRI</v>
      </c>
      <c r="S726" s="16" t="str">
        <f>iferror(VLOOKUP(C726,'ФИО'!A:B,2,0),"учётный код не найден")</f>
        <v>Стосик Степан Владимирович</v>
      </c>
      <c r="T726" s="13" t="str">
        <f t="shared" si="2"/>
        <v>915-00081.A-Модуль Трик8 (Кибертех)</v>
      </c>
      <c r="U726" s="8">
        <v>0.0</v>
      </c>
      <c r="V726" s="8">
        <v>0.0</v>
      </c>
      <c r="W726" s="21" t="str">
        <f t="shared" si="80"/>
        <v>Данные не заполены</v>
      </c>
      <c r="X726" s="15" t="str">
        <f t="shared" si="74"/>
        <v>Данные не заполены</v>
      </c>
      <c r="Y726" s="15">
        <f t="shared" si="75"/>
        <v>0</v>
      </c>
    </row>
    <row r="727" hidden="1">
      <c r="A727" s="7">
        <v>44111.29166809028</v>
      </c>
      <c r="B727" s="8" t="s">
        <v>94</v>
      </c>
      <c r="C727" s="8">
        <v>20985.0</v>
      </c>
      <c r="D727" s="8" t="s">
        <v>69</v>
      </c>
      <c r="F727" s="8" t="s">
        <v>72</v>
      </c>
      <c r="G727" s="8">
        <v>3047.0</v>
      </c>
      <c r="H727" s="8" t="s">
        <v>29</v>
      </c>
      <c r="I727" s="8" t="s">
        <v>77</v>
      </c>
      <c r="L727" s="8" t="s">
        <v>37</v>
      </c>
      <c r="P727" s="9">
        <v>44110.0</v>
      </c>
      <c r="Q727" s="10">
        <v>0.055555555554747116</v>
      </c>
      <c r="R727" s="11" t="str">
        <f t="shared" si="1"/>
        <v>Пайка компонентов PRI</v>
      </c>
      <c r="S727" s="16" t="str">
        <f>iferror(VLOOKUP(C727,'ФИО'!A:B,2,0),"учётный код не найден")</f>
        <v>Никонорова Наталия Владимировна</v>
      </c>
      <c r="T727" s="13" t="str">
        <f t="shared" si="2"/>
        <v>915-00081.A-Модуль Трик8 (Кибертех)</v>
      </c>
      <c r="U727" s="8">
        <v>0.0</v>
      </c>
      <c r="V727" s="8">
        <v>0.0</v>
      </c>
      <c r="W727" s="21" t="str">
        <f t="shared" si="80"/>
        <v>Данные не заполены</v>
      </c>
      <c r="X727" s="15" t="str">
        <f t="shared" si="74"/>
        <v>Данные не заполены</v>
      </c>
      <c r="Y727" s="15">
        <f t="shared" si="75"/>
        <v>0</v>
      </c>
    </row>
    <row r="728" hidden="1">
      <c r="A728" s="7">
        <v>44111.71717040509</v>
      </c>
      <c r="B728" s="8" t="s">
        <v>89</v>
      </c>
      <c r="C728" s="8">
        <v>22011.0</v>
      </c>
      <c r="D728" s="8" t="s">
        <v>69</v>
      </c>
      <c r="F728" s="8" t="s">
        <v>72</v>
      </c>
      <c r="G728" s="8">
        <v>3233.0</v>
      </c>
      <c r="H728" s="8" t="s">
        <v>29</v>
      </c>
      <c r="I728" s="8" t="s">
        <v>60</v>
      </c>
      <c r="L728" s="8" t="s">
        <v>37</v>
      </c>
      <c r="P728" s="9">
        <v>44111.0</v>
      </c>
      <c r="Q728" s="10">
        <v>0.0625</v>
      </c>
      <c r="R728" s="11" t="str">
        <f t="shared" si="1"/>
        <v>Пайка компонентов PRI</v>
      </c>
      <c r="S728" s="16" t="str">
        <f>iferror(VLOOKUP(C728,'ФИО'!A:B,2,0),"учётный код не найден")</f>
        <v>Сергеев Алексей Андреевич</v>
      </c>
      <c r="T728" s="13" t="str">
        <f t="shared" si="2"/>
        <v>915-00102.A - ПБОК-2В АСЛБ.465285.013 (Квант)</v>
      </c>
      <c r="U728" s="8">
        <v>20.0</v>
      </c>
      <c r="V728" s="8">
        <v>0.0</v>
      </c>
      <c r="W728" s="21" t="str">
        <f t="shared" si="80"/>
        <v>Данные не заполены</v>
      </c>
      <c r="X728" s="15" t="str">
        <f t="shared" si="74"/>
        <v>Данные не заполены</v>
      </c>
      <c r="Y728" s="15">
        <f t="shared" si="75"/>
        <v>0</v>
      </c>
    </row>
    <row r="729" hidden="1">
      <c r="A729" s="7">
        <v>44113.320014004625</v>
      </c>
      <c r="B729" s="8" t="s">
        <v>126</v>
      </c>
      <c r="C729" s="8">
        <v>22574.0</v>
      </c>
      <c r="D729" s="8" t="s">
        <v>27</v>
      </c>
      <c r="E729" s="8" t="s">
        <v>85</v>
      </c>
      <c r="G729" s="8">
        <v>3750.0</v>
      </c>
      <c r="H729" s="8" t="s">
        <v>45</v>
      </c>
      <c r="K729" s="8" t="s">
        <v>46</v>
      </c>
      <c r="L729" s="8" t="s">
        <v>31</v>
      </c>
      <c r="M729" s="8" t="s">
        <v>34</v>
      </c>
      <c r="N729" s="8"/>
      <c r="O729" s="8"/>
      <c r="P729" s="9">
        <v>44112.0</v>
      </c>
      <c r="Q729" s="10">
        <v>0.020833333335758653</v>
      </c>
      <c r="R729" s="11" t="str">
        <f t="shared" si="1"/>
        <v>Очистка трафаретного принтера</v>
      </c>
      <c r="S729" s="16" t="str">
        <f>iferror(VLOOKUP(C729,'ФИО'!A:B,2,0),"учётный код не найден")</f>
        <v>Шапенков Геннадий Михайлович</v>
      </c>
      <c r="T729" s="13" t="str">
        <f t="shared" si="2"/>
        <v>ПУ 910-00349.A "Печатный узел основного блока E96 4LIN"</v>
      </c>
      <c r="U729" s="8">
        <v>0.0</v>
      </c>
      <c r="V729" s="8">
        <v>0.0</v>
      </c>
      <c r="W729" s="21" t="str">
        <f t="shared" si="80"/>
        <v>Данные не заполены</v>
      </c>
      <c r="X729" s="15" t="str">
        <f t="shared" si="74"/>
        <v>Данные не заполены</v>
      </c>
      <c r="Y729" s="15">
        <f t="shared" si="75"/>
        <v>0</v>
      </c>
    </row>
    <row r="730" hidden="1">
      <c r="A730" s="7">
        <v>44113.32598949074</v>
      </c>
      <c r="B730" s="8" t="s">
        <v>126</v>
      </c>
      <c r="C730" s="8">
        <v>22574.0</v>
      </c>
      <c r="D730" s="8" t="s">
        <v>27</v>
      </c>
      <c r="E730" s="8" t="s">
        <v>85</v>
      </c>
      <c r="G730" s="8">
        <v>3580.0</v>
      </c>
      <c r="H730" s="8" t="s">
        <v>29</v>
      </c>
      <c r="I730" s="8" t="s">
        <v>145</v>
      </c>
      <c r="L730" s="8" t="s">
        <v>31</v>
      </c>
      <c r="M730" s="8" t="s">
        <v>34</v>
      </c>
      <c r="N730" s="8"/>
      <c r="O730" s="8"/>
      <c r="P730" s="9">
        <v>44112.0</v>
      </c>
      <c r="Q730" s="10">
        <v>0.020833333335758653</v>
      </c>
      <c r="R730" s="11" t="str">
        <f t="shared" si="1"/>
        <v>Очистка трафаретного принтера</v>
      </c>
      <c r="S730" s="16" t="str">
        <f>iferror(VLOOKUP(C730,'ФИО'!A:B,2,0),"учётный код не найден")</f>
        <v>Шапенков Геннадий Михайлович</v>
      </c>
      <c r="T730" s="13" t="str">
        <f t="shared" si="2"/>
        <v>XR (OÜ KLARBERG)</v>
      </c>
      <c r="U730" s="8">
        <v>0.0</v>
      </c>
      <c r="V730" s="8">
        <v>0.0</v>
      </c>
      <c r="W730" s="21" t="str">
        <f t="shared" si="80"/>
        <v>Данные не заполены</v>
      </c>
      <c r="X730" s="15" t="str">
        <f t="shared" si="74"/>
        <v>Данные не заполены</v>
      </c>
      <c r="Y730" s="15">
        <f t="shared" si="75"/>
        <v>0</v>
      </c>
    </row>
    <row r="731">
      <c r="A731" s="7">
        <v>44114.82377739583</v>
      </c>
      <c r="B731" s="8" t="s">
        <v>87</v>
      </c>
      <c r="C731" s="8">
        <v>22131.0</v>
      </c>
      <c r="D731" s="8" t="s">
        <v>69</v>
      </c>
      <c r="F731" s="8" t="s">
        <v>72</v>
      </c>
      <c r="G731" s="8">
        <v>3750.0</v>
      </c>
      <c r="H731" s="8" t="s">
        <v>45</v>
      </c>
      <c r="K731" s="8" t="s">
        <v>46</v>
      </c>
      <c r="L731" s="8" t="s">
        <v>31</v>
      </c>
      <c r="M731" s="8" t="s">
        <v>34</v>
      </c>
      <c r="N731" s="8"/>
      <c r="O731" s="8"/>
      <c r="P731" s="9">
        <v>44114.0</v>
      </c>
      <c r="Q731" s="10">
        <v>0.33333333333575865</v>
      </c>
      <c r="R731" s="11" t="str">
        <f t="shared" si="1"/>
        <v>Пайка компонентов PRI</v>
      </c>
      <c r="S731" s="16" t="str">
        <f>iferror(VLOOKUP(C731,'ФИО'!A:B,2,0),"учётный код не найден")</f>
        <v>Стосик Степан Владимирович</v>
      </c>
      <c r="T731" s="13" t="str">
        <f t="shared" si="2"/>
        <v>ПУ 910-00349.A "Печатный узел основного блока E96 4LIN"</v>
      </c>
      <c r="U731" s="8">
        <v>520.0</v>
      </c>
      <c r="V731" s="8">
        <v>0.0</v>
      </c>
      <c r="W731" s="21" t="str">
        <f t="shared" si="80"/>
        <v>Данные не заполены</v>
      </c>
      <c r="X731" s="15" t="str">
        <f t="shared" si="74"/>
        <v>Данные не заполены</v>
      </c>
      <c r="Y731" s="15">
        <f t="shared" si="75"/>
        <v>0</v>
      </c>
    </row>
    <row r="732">
      <c r="A732" s="7">
        <v>44114.831375486116</v>
      </c>
      <c r="B732" s="8" t="s">
        <v>87</v>
      </c>
      <c r="C732" s="8">
        <v>21426.0</v>
      </c>
      <c r="D732" s="8" t="s">
        <v>69</v>
      </c>
      <c r="F732" s="8" t="s">
        <v>72</v>
      </c>
      <c r="G732" s="8">
        <v>3750.0</v>
      </c>
      <c r="H732" s="8" t="s">
        <v>45</v>
      </c>
      <c r="K732" s="8" t="s">
        <v>46</v>
      </c>
      <c r="L732" s="8" t="s">
        <v>37</v>
      </c>
      <c r="P732" s="9">
        <v>44114.0</v>
      </c>
      <c r="Q732" s="10">
        <v>0.020833333335758653</v>
      </c>
      <c r="R732" s="11" t="str">
        <f t="shared" si="1"/>
        <v>Пайка компонентов PRI</v>
      </c>
      <c r="S732" s="16" t="str">
        <f>iferror(VLOOKUP(C732,'ФИО'!A:B,2,0),"учётный код не найден")</f>
        <v>Скибинский Антон Германович</v>
      </c>
      <c r="T732" s="13" t="str">
        <f t="shared" si="2"/>
        <v>ПУ 910-00349.A "Печатный узел основного блока E96 4LIN"</v>
      </c>
      <c r="U732" s="8">
        <v>0.0</v>
      </c>
      <c r="V732" s="8">
        <v>0.0</v>
      </c>
      <c r="W732" s="21" t="str">
        <f t="shared" si="80"/>
        <v>Данные не заполены</v>
      </c>
      <c r="X732" s="15" t="str">
        <f t="shared" si="74"/>
        <v>Данные не заполены</v>
      </c>
      <c r="Y732" s="15">
        <f t="shared" si="75"/>
        <v>0</v>
      </c>
    </row>
    <row r="733" hidden="1">
      <c r="A733" s="7">
        <v>44115.31362976852</v>
      </c>
      <c r="B733" s="8" t="s">
        <v>76</v>
      </c>
      <c r="C733" s="8">
        <v>21504.0</v>
      </c>
      <c r="D733" s="8" t="s">
        <v>69</v>
      </c>
      <c r="F733" s="8" t="s">
        <v>72</v>
      </c>
      <c r="G733" s="8">
        <v>3769.0</v>
      </c>
      <c r="H733" s="8" t="s">
        <v>45</v>
      </c>
      <c r="K733" s="8" t="s">
        <v>158</v>
      </c>
      <c r="L733" s="8" t="s">
        <v>31</v>
      </c>
      <c r="M733" s="8" t="s">
        <v>211</v>
      </c>
      <c r="N733" s="8"/>
      <c r="O733" s="8"/>
      <c r="P733" s="9">
        <v>44114.0</v>
      </c>
      <c r="Q733" s="10">
        <v>0.375</v>
      </c>
      <c r="R733" s="11" t="str">
        <f t="shared" si="1"/>
        <v>Пайка компонентов PRI</v>
      </c>
      <c r="S733" s="16" t="str">
        <f>iferror(VLOOKUP(C733,'ФИО'!A:B,2,0),"учётный код не найден")</f>
        <v>Александрова Елена Сергеевна</v>
      </c>
      <c r="T733" s="13" t="str">
        <f t="shared" si="2"/>
        <v>ПУ модуля A96 GSM+BT (910-00230.A)</v>
      </c>
      <c r="U733" s="8">
        <v>0.0</v>
      </c>
      <c r="V733" s="8">
        <v>0.0</v>
      </c>
      <c r="W733" s="21" t="str">
        <f t="shared" si="80"/>
        <v>Данные не заполены</v>
      </c>
      <c r="X733" s="15" t="str">
        <f t="shared" si="74"/>
        <v>Данные не заполены</v>
      </c>
      <c r="Y733" s="15">
        <f t="shared" si="75"/>
        <v>0</v>
      </c>
    </row>
    <row r="734">
      <c r="A734" s="7">
        <v>44115.32012978009</v>
      </c>
      <c r="B734" s="8" t="s">
        <v>76</v>
      </c>
      <c r="C734" s="8">
        <v>21852.0</v>
      </c>
      <c r="D734" s="8" t="s">
        <v>69</v>
      </c>
      <c r="F734" s="8" t="s">
        <v>72</v>
      </c>
      <c r="G734" s="8">
        <v>3750.0</v>
      </c>
      <c r="H734" s="8" t="s">
        <v>45</v>
      </c>
      <c r="K734" s="8" t="s">
        <v>46</v>
      </c>
      <c r="L734" s="8" t="s">
        <v>37</v>
      </c>
      <c r="P734" s="9">
        <v>44114.0</v>
      </c>
      <c r="Q734" s="10">
        <v>0.04166666666424135</v>
      </c>
      <c r="R734" s="11" t="str">
        <f t="shared" si="1"/>
        <v>Пайка компонентов PRI</v>
      </c>
      <c r="S734" s="16" t="str">
        <f>iferror(VLOOKUP(C734,'ФИО'!A:B,2,0),"учётный код не найден")</f>
        <v>Пономарев Юрий Андреевич</v>
      </c>
      <c r="T734" s="13" t="str">
        <f t="shared" si="2"/>
        <v>ПУ 910-00349.A "Печатный узел основного блока E96 4LIN"</v>
      </c>
      <c r="U734" s="8">
        <v>0.0</v>
      </c>
      <c r="V734" s="8">
        <v>0.0</v>
      </c>
      <c r="W734" s="21" t="str">
        <f t="shared" si="80"/>
        <v>Данные не заполены</v>
      </c>
      <c r="X734" s="15" t="str">
        <f t="shared" si="74"/>
        <v>Данные не заполены</v>
      </c>
      <c r="Y734" s="15">
        <f t="shared" si="75"/>
        <v>0</v>
      </c>
    </row>
    <row r="735" hidden="1">
      <c r="A735" s="7">
        <v>44118.3149384375</v>
      </c>
      <c r="B735" s="8" t="s">
        <v>94</v>
      </c>
      <c r="C735" s="8">
        <v>21928.0</v>
      </c>
      <c r="D735" s="8" t="s">
        <v>69</v>
      </c>
      <c r="F735" s="8" t="s">
        <v>72</v>
      </c>
      <c r="G735" s="8">
        <v>3232.0</v>
      </c>
      <c r="H735" s="8" t="s">
        <v>29</v>
      </c>
      <c r="I735" s="8" t="s">
        <v>63</v>
      </c>
      <c r="L735" s="8" t="s">
        <v>37</v>
      </c>
      <c r="P735" s="9">
        <v>44117.0</v>
      </c>
      <c r="Q735" s="10">
        <v>0.04166666666424135</v>
      </c>
      <c r="R735" s="11" t="str">
        <f t="shared" si="1"/>
        <v>Пайка компонентов PRI</v>
      </c>
      <c r="S735" s="16" t="str">
        <f>iferror(VLOOKUP(C735,'ФИО'!A:B,2,0),"учётный код не найден")</f>
        <v>Савченко Виктория Андреевна</v>
      </c>
      <c r="T735" s="13" t="str">
        <f t="shared" si="2"/>
        <v>915-00103.A - ПБОК-1В АСЛБ.465285.012 (Квант)</v>
      </c>
      <c r="U735" s="8">
        <v>0.0</v>
      </c>
      <c r="V735" s="8">
        <v>0.0</v>
      </c>
      <c r="W735" s="17" t="str">
        <f t="shared" si="80"/>
        <v>Данные не заполены</v>
      </c>
      <c r="X735" s="14" t="str">
        <f t="shared" si="74"/>
        <v>Данные не заполены</v>
      </c>
      <c r="Y735" s="15">
        <f t="shared" si="75"/>
        <v>0</v>
      </c>
    </row>
    <row r="736" hidden="1">
      <c r="A736" s="7">
        <v>44118.317469988426</v>
      </c>
      <c r="B736" s="8" t="s">
        <v>94</v>
      </c>
      <c r="C736" s="8">
        <v>21928.0</v>
      </c>
      <c r="D736" s="8" t="s">
        <v>69</v>
      </c>
      <c r="F736" s="8" t="s">
        <v>72</v>
      </c>
      <c r="G736" s="8">
        <v>3580.0</v>
      </c>
      <c r="H736" s="8" t="s">
        <v>29</v>
      </c>
      <c r="I736" s="8" t="s">
        <v>146</v>
      </c>
      <c r="L736" s="8" t="s">
        <v>37</v>
      </c>
      <c r="P736" s="9">
        <v>44117.0</v>
      </c>
      <c r="Q736" s="10">
        <v>0.10416666666424135</v>
      </c>
      <c r="R736" s="11" t="str">
        <f t="shared" si="1"/>
        <v>Пайка компонентов PRI</v>
      </c>
      <c r="S736" s="16" t="str">
        <f>iferror(VLOOKUP(C736,'ФИО'!A:B,2,0),"учётный код не найден")</f>
        <v>Савченко Виктория Андреевна</v>
      </c>
      <c r="T736" s="13" t="str">
        <f t="shared" si="2"/>
        <v>XR (Термотроник)</v>
      </c>
      <c r="U736" s="8">
        <v>0.0</v>
      </c>
      <c r="V736" s="8">
        <v>0.0</v>
      </c>
      <c r="W736" s="17" t="str">
        <f t="shared" si="80"/>
        <v>Данные не заполены</v>
      </c>
      <c r="X736" s="14" t="str">
        <f t="shared" si="74"/>
        <v>Данные не заполены</v>
      </c>
      <c r="Y736" s="15">
        <f t="shared" si="75"/>
        <v>0</v>
      </c>
    </row>
    <row r="737" hidden="1">
      <c r="A737" s="7">
        <v>44118.829535868055</v>
      </c>
      <c r="B737" s="8" t="s">
        <v>89</v>
      </c>
      <c r="C737" s="8">
        <v>60000.0</v>
      </c>
      <c r="D737" s="8" t="s">
        <v>69</v>
      </c>
      <c r="F737" s="8" t="s">
        <v>72</v>
      </c>
      <c r="G737" s="8">
        <v>3234.0</v>
      </c>
      <c r="H737" s="8" t="s">
        <v>29</v>
      </c>
      <c r="I737" s="8" t="s">
        <v>135</v>
      </c>
      <c r="L737" s="8" t="s">
        <v>37</v>
      </c>
      <c r="P737" s="9">
        <v>44118.0</v>
      </c>
      <c r="Q737" s="10">
        <v>0.020833333335758653</v>
      </c>
      <c r="R737" s="11" t="str">
        <f t="shared" si="1"/>
        <v>Пайка компонентов PRI</v>
      </c>
      <c r="S737" s="12" t="str">
        <f>iferror(VLOOKUP(C737,'ФИО'!A:B,2,0),"учётный код не найден")</f>
        <v>THT</v>
      </c>
      <c r="T737" s="13" t="str">
        <f t="shared" si="2"/>
        <v>915-00101.A - ПКД-9В АСЛБ.467249.107 (Квант)</v>
      </c>
      <c r="U737" s="8">
        <v>9.0</v>
      </c>
      <c r="V737" s="8">
        <v>0.0</v>
      </c>
      <c r="W737" s="17" t="str">
        <f t="shared" si="80"/>
        <v>Данные не заполены</v>
      </c>
      <c r="X737" s="14" t="str">
        <f t="shared" si="74"/>
        <v>Данные не заполены</v>
      </c>
      <c r="Y737" s="15">
        <f t="shared" si="75"/>
        <v>0</v>
      </c>
    </row>
    <row r="738" hidden="1">
      <c r="A738" s="7">
        <v>44118.83035765046</v>
      </c>
      <c r="B738" s="8" t="s">
        <v>89</v>
      </c>
      <c r="C738" s="8">
        <v>60000.0</v>
      </c>
      <c r="D738" s="8" t="s">
        <v>69</v>
      </c>
      <c r="F738" s="8" t="s">
        <v>80</v>
      </c>
      <c r="G738" s="8">
        <v>3234.0</v>
      </c>
      <c r="H738" s="8" t="s">
        <v>29</v>
      </c>
      <c r="I738" s="8" t="s">
        <v>135</v>
      </c>
      <c r="L738" s="8" t="s">
        <v>37</v>
      </c>
      <c r="P738" s="9">
        <v>44118.0</v>
      </c>
      <c r="Q738" s="10">
        <v>0.14583333333575865</v>
      </c>
      <c r="R738" s="11" t="str">
        <f t="shared" si="1"/>
        <v>Пайка компонентов SEC</v>
      </c>
      <c r="S738" s="12" t="str">
        <f>iferror(VLOOKUP(C738,'ФИО'!A:B,2,0),"учётный код не найден")</f>
        <v>THT</v>
      </c>
      <c r="T738" s="13" t="str">
        <f t="shared" si="2"/>
        <v>915-00101.A - ПКД-9В АСЛБ.467249.107 (Квант)</v>
      </c>
      <c r="U738" s="8">
        <v>49.0</v>
      </c>
      <c r="V738" s="8">
        <v>0.0</v>
      </c>
      <c r="W738" s="17" t="str">
        <f t="shared" si="80"/>
        <v>Данные не заполены</v>
      </c>
      <c r="X738" s="14" t="str">
        <f t="shared" si="74"/>
        <v>Данные не заполены</v>
      </c>
      <c r="Y738" s="15">
        <f t="shared" si="75"/>
        <v>0</v>
      </c>
    </row>
    <row r="739" hidden="1">
      <c r="A739" s="7">
        <v>44119.31283126157</v>
      </c>
      <c r="B739" s="8" t="s">
        <v>94</v>
      </c>
      <c r="C739" s="8">
        <v>60000.0</v>
      </c>
      <c r="D739" s="8" t="s">
        <v>69</v>
      </c>
      <c r="F739" s="8" t="s">
        <v>72</v>
      </c>
      <c r="G739" s="8">
        <v>2958.0</v>
      </c>
      <c r="H739" s="8" t="s">
        <v>29</v>
      </c>
      <c r="I739" s="8" t="s">
        <v>212</v>
      </c>
      <c r="L739" s="8" t="s">
        <v>37</v>
      </c>
      <c r="P739" s="9">
        <v>44118.0</v>
      </c>
      <c r="Q739" s="10">
        <v>0.11458333333333333</v>
      </c>
      <c r="R739" s="11" t="str">
        <f t="shared" si="1"/>
        <v>Пайка компонентов PRI</v>
      </c>
      <c r="S739" s="12" t="str">
        <f>iferror(VLOOKUP(C739,'ФИО'!A:B,2,0),"учётный код не найден")</f>
        <v>THT</v>
      </c>
      <c r="T739" s="13" t="str">
        <f t="shared" si="2"/>
        <v>КТ-500 (Производственный Альянс)</v>
      </c>
      <c r="U739" s="8">
        <v>328.0</v>
      </c>
      <c r="V739" s="8">
        <v>0.0</v>
      </c>
      <c r="W739" s="17">
        <v>1305.0</v>
      </c>
      <c r="X739" s="14">
        <f t="shared" si="74"/>
        <v>1.005363985</v>
      </c>
      <c r="Y739" s="15">
        <f t="shared" si="75"/>
        <v>0</v>
      </c>
    </row>
    <row r="740" hidden="1">
      <c r="A740" s="7">
        <v>44119.316583541666</v>
      </c>
      <c r="B740" s="8" t="s">
        <v>94</v>
      </c>
      <c r="C740" s="8">
        <v>60000.0</v>
      </c>
      <c r="D740" s="8" t="s">
        <v>69</v>
      </c>
      <c r="F740" s="8" t="s">
        <v>72</v>
      </c>
      <c r="G740" s="8">
        <v>3580.0</v>
      </c>
      <c r="H740" s="8" t="s">
        <v>29</v>
      </c>
      <c r="I740" s="8" t="s">
        <v>145</v>
      </c>
      <c r="L740" s="8" t="s">
        <v>37</v>
      </c>
      <c r="P740" s="9">
        <v>44118.0</v>
      </c>
      <c r="Q740" s="10">
        <v>0.09027777777777778</v>
      </c>
      <c r="R740" s="11" t="str">
        <f t="shared" si="1"/>
        <v>Пайка компонентов PRI</v>
      </c>
      <c r="S740" s="12" t="str">
        <f>iferror(VLOOKUP(C740,'ФИО'!A:B,2,0),"учётный код не найден")</f>
        <v>THT</v>
      </c>
      <c r="T740" s="13" t="str">
        <f t="shared" si="2"/>
        <v>XR (OÜ KLARBERG)</v>
      </c>
      <c r="U740" s="8">
        <v>800.0</v>
      </c>
      <c r="V740" s="8">
        <v>0.0</v>
      </c>
      <c r="W740" s="17">
        <v>4041.0</v>
      </c>
      <c r="X740" s="14">
        <f t="shared" si="74"/>
        <v>1.00508252</v>
      </c>
      <c r="Y740" s="15">
        <f t="shared" si="75"/>
        <v>0</v>
      </c>
    </row>
    <row r="741" hidden="1">
      <c r="A741" s="7">
        <v>44119.312604756946</v>
      </c>
      <c r="B741" s="8" t="s">
        <v>94</v>
      </c>
      <c r="C741" s="8">
        <v>50000.0</v>
      </c>
      <c r="D741" s="8" t="s">
        <v>27</v>
      </c>
      <c r="E741" s="8" t="s">
        <v>88</v>
      </c>
      <c r="G741" s="8">
        <v>3266.0</v>
      </c>
      <c r="H741" s="8" t="s">
        <v>29</v>
      </c>
      <c r="I741" s="8" t="s">
        <v>90</v>
      </c>
      <c r="L741" s="8" t="s">
        <v>37</v>
      </c>
      <c r="N741" s="8">
        <v>1.0</v>
      </c>
      <c r="O741" s="8">
        <v>86.0</v>
      </c>
      <c r="P741" s="9">
        <v>44118.0</v>
      </c>
      <c r="Q741" s="10">
        <v>0.13888888889050577</v>
      </c>
      <c r="R741" s="11" t="str">
        <f t="shared" si="1"/>
        <v>Сборка на линии Sec</v>
      </c>
      <c r="S741" s="16" t="str">
        <f>iferror(VLOOKUP(C741,'ФИО'!A:B,2,0),"учётный код не найден")</f>
        <v>SMT</v>
      </c>
      <c r="T741" s="13" t="str">
        <f t="shared" si="2"/>
        <v>915-00124.A - Tioga Pass_v1.1 (Гагар.ин)</v>
      </c>
      <c r="U741" s="8">
        <v>2.0</v>
      </c>
      <c r="V741" s="8">
        <v>0.0</v>
      </c>
      <c r="W741" s="17">
        <f t="shared" ref="W741:W751" si="81">IFERROR((((38412/(ifs(O741&lt;35,35,O741&gt;34,O741)/N741)*0.7))),"Данные не заполены")</f>
        <v>312.655814</v>
      </c>
      <c r="X741" s="14">
        <f t="shared" si="74"/>
        <v>0.02110947472</v>
      </c>
      <c r="Y741" s="15">
        <f t="shared" si="75"/>
        <v>0</v>
      </c>
    </row>
    <row r="742" hidden="1">
      <c r="A742" s="7">
        <v>44118.18917745371</v>
      </c>
      <c r="B742" s="8" t="s">
        <v>94</v>
      </c>
      <c r="C742" s="8">
        <v>20985.0</v>
      </c>
      <c r="D742" s="8" t="s">
        <v>69</v>
      </c>
      <c r="F742" s="8" t="s">
        <v>72</v>
      </c>
      <c r="G742" s="8">
        <v>3232.0</v>
      </c>
      <c r="H742" s="8" t="s">
        <v>29</v>
      </c>
      <c r="I742" s="8" t="s">
        <v>63</v>
      </c>
      <c r="L742" s="8" t="s">
        <v>37</v>
      </c>
      <c r="P742" s="9">
        <v>44117.0</v>
      </c>
      <c r="Q742" s="10">
        <v>0.020833333335758653</v>
      </c>
      <c r="R742" s="11" t="str">
        <f t="shared" si="1"/>
        <v>Пайка компонентов PRI</v>
      </c>
      <c r="S742" s="16" t="str">
        <f>iferror(VLOOKUP(C742,'ФИО'!A:B,2,0),"учётный код не найден")</f>
        <v>Никонорова Наталия Владимировна</v>
      </c>
      <c r="T742" s="13" t="str">
        <f t="shared" si="2"/>
        <v>915-00103.A - ПБОК-1В АСЛБ.465285.012 (Квант)</v>
      </c>
      <c r="U742" s="8">
        <v>0.0</v>
      </c>
      <c r="V742" s="8">
        <v>0.0</v>
      </c>
      <c r="W742" s="17" t="str">
        <f t="shared" si="81"/>
        <v>Данные не заполены</v>
      </c>
      <c r="X742" s="14" t="str">
        <f t="shared" si="74"/>
        <v>Данные не заполены</v>
      </c>
      <c r="Y742" s="15">
        <f t="shared" si="75"/>
        <v>0</v>
      </c>
    </row>
    <row r="743" hidden="1">
      <c r="A743" s="7">
        <v>44118.317689247684</v>
      </c>
      <c r="B743" s="8" t="s">
        <v>94</v>
      </c>
      <c r="C743" s="8">
        <v>20985.0</v>
      </c>
      <c r="D743" s="8" t="s">
        <v>69</v>
      </c>
      <c r="F743" s="8" t="s">
        <v>72</v>
      </c>
      <c r="G743" s="8">
        <v>3580.0</v>
      </c>
      <c r="H743" s="8" t="s">
        <v>29</v>
      </c>
      <c r="I743" s="8" t="s">
        <v>145</v>
      </c>
      <c r="L743" s="8" t="s">
        <v>37</v>
      </c>
      <c r="P743" s="9">
        <v>44117.0</v>
      </c>
      <c r="Q743" s="10">
        <v>0.07638888889050577</v>
      </c>
      <c r="R743" s="11" t="str">
        <f t="shared" si="1"/>
        <v>Пайка компонентов PRI</v>
      </c>
      <c r="S743" s="16" t="str">
        <f>iferror(VLOOKUP(C743,'ФИО'!A:B,2,0),"учётный код не найден")</f>
        <v>Никонорова Наталия Владимировна</v>
      </c>
      <c r="T743" s="13" t="str">
        <f t="shared" si="2"/>
        <v>XR (OÜ KLARBERG)</v>
      </c>
      <c r="U743" s="8">
        <v>0.0</v>
      </c>
      <c r="V743" s="8">
        <v>0.0</v>
      </c>
      <c r="W743" s="17" t="str">
        <f t="shared" si="81"/>
        <v>Данные не заполены</v>
      </c>
      <c r="X743" s="14" t="str">
        <f t="shared" si="74"/>
        <v>Данные не заполены</v>
      </c>
      <c r="Y743" s="15">
        <f t="shared" si="75"/>
        <v>0</v>
      </c>
    </row>
    <row r="744" hidden="1">
      <c r="A744" s="7">
        <v>44118.31948983796</v>
      </c>
      <c r="B744" s="8" t="s">
        <v>94</v>
      </c>
      <c r="C744" s="8">
        <v>20985.0</v>
      </c>
      <c r="D744" s="8" t="s">
        <v>69</v>
      </c>
      <c r="F744" s="8" t="s">
        <v>72</v>
      </c>
      <c r="G744" s="8">
        <v>3234.0</v>
      </c>
      <c r="H744" s="8" t="s">
        <v>29</v>
      </c>
      <c r="I744" s="8" t="s">
        <v>135</v>
      </c>
      <c r="L744" s="8" t="s">
        <v>37</v>
      </c>
      <c r="P744" s="9">
        <v>44117.0</v>
      </c>
      <c r="Q744" s="10">
        <v>0.04861111110949423</v>
      </c>
      <c r="R744" s="11" t="str">
        <f t="shared" si="1"/>
        <v>Пайка компонентов PRI</v>
      </c>
      <c r="S744" s="16" t="str">
        <f>iferror(VLOOKUP(C744,'ФИО'!A:B,2,0),"учётный код не найден")</f>
        <v>Никонорова Наталия Владимировна</v>
      </c>
      <c r="T744" s="13" t="str">
        <f t="shared" si="2"/>
        <v>915-00101.A - ПКД-9В АСЛБ.467249.107 (Квант)</v>
      </c>
      <c r="U744" s="8">
        <v>0.0</v>
      </c>
      <c r="V744" s="8">
        <v>0.0</v>
      </c>
      <c r="W744" s="17" t="str">
        <f t="shared" si="81"/>
        <v>Данные не заполены</v>
      </c>
      <c r="X744" s="14" t="str">
        <f t="shared" si="74"/>
        <v>Данные не заполены</v>
      </c>
      <c r="Y744" s="15">
        <f t="shared" si="75"/>
        <v>0</v>
      </c>
    </row>
    <row r="745" hidden="1">
      <c r="A745" s="7">
        <v>44133.82167582176</v>
      </c>
      <c r="B745" s="8" t="s">
        <v>127</v>
      </c>
      <c r="C745" s="8">
        <v>22574.0</v>
      </c>
      <c r="D745" s="8" t="s">
        <v>27</v>
      </c>
      <c r="E745" s="8" t="s">
        <v>82</v>
      </c>
      <c r="G745" s="8">
        <v>3621.0</v>
      </c>
      <c r="H745" s="8" t="s">
        <v>29</v>
      </c>
      <c r="I745" s="8" t="s">
        <v>54</v>
      </c>
      <c r="L745" s="8" t="s">
        <v>31</v>
      </c>
      <c r="M745" s="8" t="s">
        <v>34</v>
      </c>
      <c r="P745" s="9">
        <v>44133.0</v>
      </c>
      <c r="Q745" s="10">
        <v>0.08333333333575865</v>
      </c>
      <c r="R745" s="11" t="str">
        <f t="shared" si="1"/>
        <v>Настройка установщиков</v>
      </c>
      <c r="S745" s="16" t="str">
        <f>iferror(VLOOKUP(C745,'ФИО'!A:B,2,0),"учётный код не найден")</f>
        <v>Шапенков Геннадий Михайлович</v>
      </c>
      <c r="T745" s="11" t="str">
        <f t="shared" si="2"/>
        <v>915-00121.A - Процессорный модуль РСЕН.469555.027 (КНС Групп)</v>
      </c>
      <c r="U745" s="8">
        <v>0.0</v>
      </c>
      <c r="V745" s="8">
        <v>0.0</v>
      </c>
      <c r="W745" s="17" t="str">
        <f t="shared" si="81"/>
        <v>Данные не заполены</v>
      </c>
      <c r="X745" s="14" t="str">
        <f t="shared" si="74"/>
        <v>Данные не заполены</v>
      </c>
      <c r="Y745" s="15">
        <f t="shared" si="75"/>
        <v>0</v>
      </c>
    </row>
    <row r="746" hidden="1">
      <c r="A746" s="7">
        <v>44118.829938194445</v>
      </c>
      <c r="B746" s="8" t="s">
        <v>89</v>
      </c>
      <c r="C746" s="8">
        <v>21852.0</v>
      </c>
      <c r="D746" s="8" t="s">
        <v>69</v>
      </c>
      <c r="F746" s="8" t="s">
        <v>72</v>
      </c>
      <c r="G746" s="8">
        <v>3234.0</v>
      </c>
      <c r="H746" s="8" t="s">
        <v>29</v>
      </c>
      <c r="I746" s="8" t="s">
        <v>135</v>
      </c>
      <c r="L746" s="8" t="s">
        <v>37</v>
      </c>
      <c r="P746" s="9">
        <v>44118.0</v>
      </c>
      <c r="Q746" s="10">
        <v>0.020833333335758653</v>
      </c>
      <c r="R746" s="11" t="str">
        <f t="shared" si="1"/>
        <v>Пайка компонентов PRI</v>
      </c>
      <c r="S746" s="16" t="str">
        <f>iferror(VLOOKUP(C746,'ФИО'!A:B,2,0),"учётный код не найден")</f>
        <v>Пономарев Юрий Андреевич</v>
      </c>
      <c r="T746" s="13" t="str">
        <f t="shared" si="2"/>
        <v>915-00101.A - ПКД-9В АСЛБ.467249.107 (Квант)</v>
      </c>
      <c r="U746" s="8">
        <v>0.0</v>
      </c>
      <c r="V746" s="8">
        <v>0.0</v>
      </c>
      <c r="W746" s="17" t="str">
        <f t="shared" si="81"/>
        <v>Данные не заполены</v>
      </c>
      <c r="X746" s="14" t="str">
        <f t="shared" si="74"/>
        <v>Данные не заполены</v>
      </c>
      <c r="Y746" s="15">
        <f t="shared" si="75"/>
        <v>0</v>
      </c>
    </row>
    <row r="747" hidden="1">
      <c r="A747" s="7">
        <v>44118.83707148148</v>
      </c>
      <c r="B747" s="8" t="s">
        <v>89</v>
      </c>
      <c r="C747" s="8">
        <v>21852.0</v>
      </c>
      <c r="D747" s="8" t="s">
        <v>69</v>
      </c>
      <c r="F747" s="8" t="s">
        <v>72</v>
      </c>
      <c r="G747" s="8">
        <v>2958.0</v>
      </c>
      <c r="H747" s="8" t="s">
        <v>29</v>
      </c>
      <c r="I747" s="8" t="s">
        <v>212</v>
      </c>
      <c r="L747" s="8" t="s">
        <v>31</v>
      </c>
      <c r="M747" s="8" t="s">
        <v>34</v>
      </c>
      <c r="P747" s="9">
        <v>44118.0</v>
      </c>
      <c r="Q747" s="10">
        <v>0.10416666666424135</v>
      </c>
      <c r="R747" s="11" t="str">
        <f t="shared" si="1"/>
        <v>Пайка компонентов PRI</v>
      </c>
      <c r="S747" s="16" t="str">
        <f>iferror(VLOOKUP(C747,'ФИО'!A:B,2,0),"учётный код не найден")</f>
        <v>Пономарев Юрий Андреевич</v>
      </c>
      <c r="T747" s="13" t="str">
        <f t="shared" si="2"/>
        <v>КТ-500 (Производственный Альянс)</v>
      </c>
      <c r="U747" s="8">
        <v>0.0</v>
      </c>
      <c r="V747" s="8">
        <v>0.0</v>
      </c>
      <c r="W747" s="17" t="str">
        <f t="shared" si="81"/>
        <v>Данные не заполены</v>
      </c>
      <c r="X747" s="14" t="str">
        <f t="shared" si="74"/>
        <v>Данные не заполены</v>
      </c>
      <c r="Y747" s="15">
        <f t="shared" si="75"/>
        <v>0</v>
      </c>
    </row>
    <row r="748" hidden="1">
      <c r="A748" s="7">
        <v>44119.32269376157</v>
      </c>
      <c r="B748" s="8" t="s">
        <v>94</v>
      </c>
      <c r="C748" s="8">
        <v>21928.0</v>
      </c>
      <c r="D748" s="8" t="s">
        <v>69</v>
      </c>
      <c r="F748" s="8" t="s">
        <v>72</v>
      </c>
      <c r="G748" s="8">
        <v>2958.0</v>
      </c>
      <c r="H748" s="8" t="s">
        <v>29</v>
      </c>
      <c r="I748" s="8" t="s">
        <v>212</v>
      </c>
      <c r="L748" s="8" t="s">
        <v>37</v>
      </c>
      <c r="P748" s="9">
        <v>44118.0</v>
      </c>
      <c r="Q748" s="10">
        <v>0.04166666666424135</v>
      </c>
      <c r="R748" s="11" t="str">
        <f t="shared" si="1"/>
        <v>Пайка компонентов PRI</v>
      </c>
      <c r="S748" s="16" t="str">
        <f>iferror(VLOOKUP(C748,'ФИО'!A:B,2,0),"учётный код не найден")</f>
        <v>Савченко Виктория Андреевна</v>
      </c>
      <c r="T748" s="13" t="str">
        <f t="shared" si="2"/>
        <v>КТ-500 (Производственный Альянс)</v>
      </c>
      <c r="U748" s="8">
        <v>0.0</v>
      </c>
      <c r="V748" s="8">
        <v>0.0</v>
      </c>
      <c r="W748" s="17" t="str">
        <f t="shared" si="81"/>
        <v>Данные не заполены</v>
      </c>
      <c r="X748" s="14" t="str">
        <f t="shared" si="74"/>
        <v>Данные не заполены</v>
      </c>
      <c r="Y748" s="15">
        <f t="shared" si="75"/>
        <v>0</v>
      </c>
    </row>
    <row r="749" hidden="1">
      <c r="A749" s="7">
        <v>44119.30722931713</v>
      </c>
      <c r="B749" s="8" t="s">
        <v>94</v>
      </c>
      <c r="C749" s="8">
        <v>20985.0</v>
      </c>
      <c r="D749" s="8" t="s">
        <v>69</v>
      </c>
      <c r="F749" s="8" t="s">
        <v>72</v>
      </c>
      <c r="G749" s="8">
        <v>2958.0</v>
      </c>
      <c r="H749" s="8" t="s">
        <v>29</v>
      </c>
      <c r="I749" s="8" t="s">
        <v>212</v>
      </c>
      <c r="L749" s="8" t="s">
        <v>37</v>
      </c>
      <c r="P749" s="9">
        <v>44118.0</v>
      </c>
      <c r="Q749" s="10">
        <v>0.04166666666424135</v>
      </c>
      <c r="R749" s="11" t="str">
        <f t="shared" si="1"/>
        <v>Пайка компонентов PRI</v>
      </c>
      <c r="S749" s="16" t="str">
        <f>iferror(VLOOKUP(C749,'ФИО'!A:B,2,0),"учётный код не найден")</f>
        <v>Никонорова Наталия Владимировна</v>
      </c>
      <c r="T749" s="13" t="str">
        <f t="shared" si="2"/>
        <v>КТ-500 (Производственный Альянс)</v>
      </c>
      <c r="U749" s="8">
        <v>0.0</v>
      </c>
      <c r="V749" s="8">
        <v>0.0</v>
      </c>
      <c r="W749" s="17" t="str">
        <f t="shared" si="81"/>
        <v>Данные не заполены</v>
      </c>
      <c r="X749" s="14" t="str">
        <f t="shared" si="74"/>
        <v>Данные не заполены</v>
      </c>
      <c r="Y749" s="15">
        <f t="shared" si="75"/>
        <v>0</v>
      </c>
    </row>
    <row r="750" hidden="1">
      <c r="A750" s="7">
        <v>44118.33052782407</v>
      </c>
      <c r="B750" s="8" t="s">
        <v>94</v>
      </c>
      <c r="C750" s="8">
        <v>22575.0</v>
      </c>
      <c r="D750" s="8" t="s">
        <v>27</v>
      </c>
      <c r="E750" s="8" t="s">
        <v>28</v>
      </c>
      <c r="G750" s="8">
        <v>3622.0</v>
      </c>
      <c r="H750" s="8" t="s">
        <v>29</v>
      </c>
      <c r="I750" s="8" t="s">
        <v>90</v>
      </c>
      <c r="L750" s="8" t="s">
        <v>31</v>
      </c>
      <c r="M750" s="8" t="s">
        <v>34</v>
      </c>
      <c r="P750" s="9">
        <v>44117.0</v>
      </c>
      <c r="Q750" s="10">
        <v>0.125</v>
      </c>
      <c r="R750" s="11" t="str">
        <f t="shared" si="1"/>
        <v>Выполнение дополнительных работ на линии</v>
      </c>
      <c r="S750" s="16" t="str">
        <f>iferror(VLOOKUP(C750,'ФИО'!A:B,2,0),"учётный код не найден")</f>
        <v>Куликов Виктор Алексеевич</v>
      </c>
      <c r="T750" s="13" t="str">
        <f t="shared" si="2"/>
        <v>915-00124.A - Tioga Pass_v1.1 (Гагар.ин)</v>
      </c>
      <c r="U750" s="8">
        <v>0.0</v>
      </c>
      <c r="V750" s="8">
        <v>0.0</v>
      </c>
      <c r="W750" s="17" t="str">
        <f t="shared" si="81"/>
        <v>Данные не заполены</v>
      </c>
      <c r="X750" s="14" t="str">
        <f t="shared" si="74"/>
        <v>Данные не заполены</v>
      </c>
      <c r="Y750" s="15">
        <f t="shared" si="75"/>
        <v>0</v>
      </c>
    </row>
    <row r="751" hidden="1">
      <c r="A751" s="7">
        <v>44127.66439427083</v>
      </c>
      <c r="B751" s="8" t="s">
        <v>89</v>
      </c>
      <c r="C751" s="8">
        <v>20015.0</v>
      </c>
      <c r="D751" s="8" t="s">
        <v>27</v>
      </c>
      <c r="E751" s="8" t="s">
        <v>82</v>
      </c>
      <c r="G751" s="8">
        <v>3621.0</v>
      </c>
      <c r="H751" s="8" t="s">
        <v>29</v>
      </c>
      <c r="I751" s="8" t="s">
        <v>54</v>
      </c>
      <c r="L751" s="8" t="s">
        <v>31</v>
      </c>
      <c r="M751" s="8" t="s">
        <v>34</v>
      </c>
      <c r="P751" s="9">
        <v>44127.0</v>
      </c>
      <c r="Q751" s="10">
        <v>0.0625</v>
      </c>
      <c r="R751" s="11" t="str">
        <f t="shared" si="1"/>
        <v>Настройка установщиков</v>
      </c>
      <c r="S751" s="16" t="str">
        <f>iferror(VLOOKUP(C751,'ФИО'!A:B,2,0),"учётный код не найден")</f>
        <v>Ельцов Андрей Николаевич</v>
      </c>
      <c r="T751" s="13" t="str">
        <f t="shared" si="2"/>
        <v>915-00121.A - Процессорный модуль РСЕН.469555.027 (КНС Групп)</v>
      </c>
      <c r="U751" s="8">
        <v>0.0</v>
      </c>
      <c r="V751" s="8">
        <v>0.0</v>
      </c>
      <c r="W751" s="17" t="str">
        <f t="shared" si="81"/>
        <v>Данные не заполены</v>
      </c>
      <c r="X751" s="14" t="str">
        <f t="shared" si="74"/>
        <v>Данные не заполены</v>
      </c>
      <c r="Y751" s="15">
        <f t="shared" si="75"/>
        <v>0</v>
      </c>
    </row>
    <row r="752">
      <c r="A752" s="7">
        <v>44122.83049018518</v>
      </c>
      <c r="B752" s="8" t="s">
        <v>87</v>
      </c>
      <c r="C752" s="8">
        <v>21928.0</v>
      </c>
      <c r="D752" s="8" t="s">
        <v>69</v>
      </c>
      <c r="F752" s="8" t="s">
        <v>72</v>
      </c>
      <c r="G752" s="8">
        <v>3750.0</v>
      </c>
      <c r="H752" s="8" t="s">
        <v>45</v>
      </c>
      <c r="K752" s="8" t="s">
        <v>46</v>
      </c>
      <c r="L752" s="8" t="s">
        <v>37</v>
      </c>
      <c r="P752" s="9">
        <v>44122.0</v>
      </c>
      <c r="Q752" s="10">
        <v>0.08333333333575865</v>
      </c>
      <c r="R752" s="11" t="str">
        <f t="shared" si="1"/>
        <v>Пайка компонентов PRI</v>
      </c>
      <c r="S752" s="16" t="str">
        <f>iferror(VLOOKUP(C752,'ФИО'!A:B,2,0),"учётный код не найден")</f>
        <v>Савченко Виктория Андреевна</v>
      </c>
      <c r="T752" s="13" t="str">
        <f t="shared" si="2"/>
        <v>ПУ 910-00349.A "Печатный узел основного блока E96 4LIN"</v>
      </c>
      <c r="U752" s="8">
        <v>0.0</v>
      </c>
      <c r="V752" s="8">
        <v>0.0</v>
      </c>
      <c r="X752" s="14" t="str">
        <f t="shared" si="74"/>
        <v>Данные не заполены</v>
      </c>
      <c r="Y752" s="15">
        <f t="shared" si="75"/>
        <v>0</v>
      </c>
    </row>
    <row r="753" hidden="1">
      <c r="A753" s="7">
        <v>44122.83157304398</v>
      </c>
      <c r="B753" s="8" t="s">
        <v>87</v>
      </c>
      <c r="C753" s="8">
        <v>21928.0</v>
      </c>
      <c r="D753" s="8" t="s">
        <v>69</v>
      </c>
      <c r="F753" s="8" t="s">
        <v>72</v>
      </c>
      <c r="G753" s="8">
        <v>3047.0</v>
      </c>
      <c r="H753" s="8" t="s">
        <v>29</v>
      </c>
      <c r="I753" s="8" t="s">
        <v>77</v>
      </c>
      <c r="L753" s="8" t="s">
        <v>37</v>
      </c>
      <c r="P753" s="9">
        <v>44122.0</v>
      </c>
      <c r="Q753" s="10">
        <v>0.08333333333575865</v>
      </c>
      <c r="R753" s="11" t="str">
        <f t="shared" si="1"/>
        <v>Пайка компонентов PRI</v>
      </c>
      <c r="S753" s="16" t="str">
        <f>iferror(VLOOKUP(C753,'ФИО'!A:B,2,0),"учётный код не найден")</f>
        <v>Савченко Виктория Андреевна</v>
      </c>
      <c r="T753" s="13" t="str">
        <f t="shared" si="2"/>
        <v>915-00081.A-Модуль Трик8 (Кибертех)</v>
      </c>
      <c r="U753" s="8">
        <v>0.0</v>
      </c>
      <c r="V753" s="8">
        <v>0.0</v>
      </c>
      <c r="X753" s="14" t="str">
        <f t="shared" si="74"/>
        <v>Данные не заполены</v>
      </c>
      <c r="Y753" s="15">
        <f t="shared" si="75"/>
        <v>0</v>
      </c>
    </row>
    <row r="754" hidden="1">
      <c r="A754" s="7">
        <v>44126.82886850694</v>
      </c>
      <c r="B754" s="8" t="s">
        <v>89</v>
      </c>
      <c r="C754" s="8">
        <v>22011.0</v>
      </c>
      <c r="D754" s="8" t="s">
        <v>69</v>
      </c>
      <c r="F754" s="8" t="s">
        <v>72</v>
      </c>
      <c r="G754" s="8">
        <v>3253.0</v>
      </c>
      <c r="H754" s="8" t="s">
        <v>29</v>
      </c>
      <c r="I754" s="8" t="s">
        <v>95</v>
      </c>
      <c r="L754" s="8" t="s">
        <v>37</v>
      </c>
      <c r="P754" s="9">
        <v>44126.0</v>
      </c>
      <c r="Q754" s="10">
        <v>0.125</v>
      </c>
      <c r="R754" s="11" t="str">
        <f t="shared" si="1"/>
        <v>Пайка компонентов PRI</v>
      </c>
      <c r="S754" s="16" t="str">
        <f>iferror(VLOOKUP(C754,'ФИО'!A:B,2,0),"учётный код не найден")</f>
        <v>Сергеев Алексей Андреевич</v>
      </c>
      <c r="T754" s="13" t="str">
        <f t="shared" si="2"/>
        <v>915-00095.A - ПКД-8В-1 АСЛБ.467249.108 (Квант)</v>
      </c>
      <c r="U754" s="8">
        <v>8.0</v>
      </c>
      <c r="V754" s="8">
        <v>0.0</v>
      </c>
      <c r="W754" s="17" t="str">
        <f t="shared" ref="W754:W756" si="82">IFERROR((((38412/(ifs(O754&lt;35,35,O754&gt;34,O754)/N754)*0.7))),"Данные не заполены")</f>
        <v>Данные не заполены</v>
      </c>
      <c r="X754" s="14" t="str">
        <f t="shared" si="74"/>
        <v>Данные не заполены</v>
      </c>
      <c r="Y754" s="15">
        <f t="shared" si="75"/>
        <v>0</v>
      </c>
    </row>
    <row r="755" hidden="1">
      <c r="A755" s="7">
        <v>44126.8294312963</v>
      </c>
      <c r="B755" s="8" t="s">
        <v>89</v>
      </c>
      <c r="C755" s="8">
        <v>22011.0</v>
      </c>
      <c r="D755" s="8" t="s">
        <v>69</v>
      </c>
      <c r="F755" s="8" t="s">
        <v>72</v>
      </c>
      <c r="G755" s="8">
        <v>3252.0</v>
      </c>
      <c r="H755" s="8" t="s">
        <v>29</v>
      </c>
      <c r="I755" s="8" t="s">
        <v>96</v>
      </c>
      <c r="L755" s="8" t="s">
        <v>37</v>
      </c>
      <c r="P755" s="9">
        <v>44126.0</v>
      </c>
      <c r="Q755" s="10">
        <v>0.0625</v>
      </c>
      <c r="R755" s="11" t="str">
        <f t="shared" si="1"/>
        <v>Пайка компонентов PRI</v>
      </c>
      <c r="S755" s="16" t="str">
        <f>iferror(VLOOKUP(C755,'ФИО'!A:B,2,0),"учётный код не найден")</f>
        <v>Сергеев Алексей Андреевич</v>
      </c>
      <c r="T755" s="13" t="str">
        <f t="shared" si="2"/>
        <v>915-00096.A - ПКД-8В-2 АСЛБ.467249.109</v>
      </c>
      <c r="U755" s="8">
        <v>4.0</v>
      </c>
      <c r="V755" s="8">
        <v>0.0</v>
      </c>
      <c r="W755" s="17" t="str">
        <f t="shared" si="82"/>
        <v>Данные не заполены</v>
      </c>
      <c r="X755" s="14" t="str">
        <f t="shared" si="74"/>
        <v>Данные не заполены</v>
      </c>
      <c r="Y755" s="15">
        <f t="shared" si="75"/>
        <v>0</v>
      </c>
    </row>
    <row r="756" hidden="1">
      <c r="A756" s="7">
        <v>44127.31120940972</v>
      </c>
      <c r="B756" s="8" t="s">
        <v>94</v>
      </c>
      <c r="C756" s="8">
        <v>20985.0</v>
      </c>
      <c r="D756" s="8" t="s">
        <v>69</v>
      </c>
      <c r="F756" s="8" t="s">
        <v>72</v>
      </c>
      <c r="G756" s="8">
        <v>3252.0</v>
      </c>
      <c r="H756" s="8" t="s">
        <v>29</v>
      </c>
      <c r="I756" s="8" t="s">
        <v>96</v>
      </c>
      <c r="L756" s="8" t="s">
        <v>37</v>
      </c>
      <c r="P756" s="9">
        <v>44126.0</v>
      </c>
      <c r="Q756" s="10">
        <v>0.10416666666424135</v>
      </c>
      <c r="R756" s="11" t="str">
        <f t="shared" si="1"/>
        <v>Пайка компонентов PRI</v>
      </c>
      <c r="S756" s="16" t="str">
        <f>iferror(VLOOKUP(C756,'ФИО'!A:B,2,0),"учётный код не найден")</f>
        <v>Никонорова Наталия Владимировна</v>
      </c>
      <c r="T756" s="13" t="str">
        <f t="shared" si="2"/>
        <v>915-00096.A - ПКД-8В-2 АСЛБ.467249.109</v>
      </c>
      <c r="U756" s="8">
        <v>0.0</v>
      </c>
      <c r="V756" s="8">
        <v>0.0</v>
      </c>
      <c r="W756" s="17" t="str">
        <f t="shared" si="82"/>
        <v>Данные не заполены</v>
      </c>
      <c r="X756" s="14" t="str">
        <f t="shared" si="74"/>
        <v>Данные не заполены</v>
      </c>
      <c r="Y756" s="15">
        <f t="shared" si="75"/>
        <v>0</v>
      </c>
    </row>
    <row r="757" hidden="1">
      <c r="A757" s="7">
        <v>44129.3661525</v>
      </c>
      <c r="B757" s="8" t="s">
        <v>26</v>
      </c>
      <c r="C757" s="8">
        <v>22087.0</v>
      </c>
      <c r="D757" s="8" t="s">
        <v>69</v>
      </c>
      <c r="F757" s="8" t="s">
        <v>207</v>
      </c>
      <c r="G757" s="8">
        <v>3253.0</v>
      </c>
      <c r="H757" s="8" t="s">
        <v>29</v>
      </c>
      <c r="I757" s="8" t="s">
        <v>95</v>
      </c>
      <c r="L757" s="8" t="s">
        <v>31</v>
      </c>
      <c r="M757" s="8" t="s">
        <v>34</v>
      </c>
      <c r="P757" s="9">
        <v>44128.0</v>
      </c>
      <c r="Q757" s="10">
        <v>0.010416666666666666</v>
      </c>
      <c r="R757" s="11" t="str">
        <f t="shared" si="1"/>
        <v>Проверка первой платы после пайки</v>
      </c>
      <c r="S757" s="12" t="str">
        <f>iferror(VLOOKUP(C757,'ФИО'!A:B,2,0),"учётный код не найден")</f>
        <v>Хохряков Илья Александрович</v>
      </c>
      <c r="T757" s="13" t="str">
        <f t="shared" si="2"/>
        <v>915-00095.A - ПКД-8В-1 АСЛБ.467249.108 (Квант)</v>
      </c>
      <c r="U757" s="8">
        <v>0.0</v>
      </c>
      <c r="V757" s="8">
        <v>0.0</v>
      </c>
      <c r="X757" s="14" t="str">
        <f t="shared" si="74"/>
        <v>Данные не заполены</v>
      </c>
      <c r="Y757" s="15">
        <f t="shared" si="75"/>
        <v>0</v>
      </c>
    </row>
    <row r="758" hidden="1">
      <c r="A758" s="7">
        <v>44131.33346418981</v>
      </c>
      <c r="B758" s="8" t="s">
        <v>76</v>
      </c>
      <c r="C758" s="8">
        <v>21852.0</v>
      </c>
      <c r="D758" s="8" t="s">
        <v>69</v>
      </c>
      <c r="F758" s="8" t="s">
        <v>72</v>
      </c>
      <c r="G758" s="8">
        <v>3253.0</v>
      </c>
      <c r="H758" s="8" t="s">
        <v>29</v>
      </c>
      <c r="I758" s="8" t="s">
        <v>95</v>
      </c>
      <c r="L758" s="8" t="s">
        <v>37</v>
      </c>
      <c r="P758" s="9">
        <v>44130.0</v>
      </c>
      <c r="Q758" s="10">
        <v>0.03125</v>
      </c>
      <c r="R758" s="11" t="str">
        <f t="shared" si="1"/>
        <v>Пайка компонентов PRI</v>
      </c>
      <c r="S758" s="12" t="str">
        <f>iferror(VLOOKUP(C758,'ФИО'!A:B,2,0),"учётный код не найден")</f>
        <v>Пономарев Юрий Андреевич</v>
      </c>
      <c r="T758" s="13" t="str">
        <f t="shared" si="2"/>
        <v>915-00095.A - ПКД-8В-1 АСЛБ.467249.108 (Квант)</v>
      </c>
      <c r="U758" s="8">
        <v>31.0</v>
      </c>
      <c r="V758" s="8">
        <v>0.0</v>
      </c>
      <c r="W758" s="17" t="str">
        <f t="shared" ref="W758:W776" si="83">IFERROR((((38412/(ifs(O758&lt;35,35,O758&gt;34,O758)/N758)*0.7))),"Данные не заполены")</f>
        <v>Данные не заполены</v>
      </c>
      <c r="X758" s="14" t="str">
        <f t="shared" si="74"/>
        <v>Данные не заполены</v>
      </c>
      <c r="Y758" s="15">
        <f t="shared" si="75"/>
        <v>0</v>
      </c>
    </row>
    <row r="759" hidden="1">
      <c r="A759" s="7">
        <v>44117.32200726852</v>
      </c>
      <c r="B759" s="8" t="s">
        <v>38</v>
      </c>
      <c r="C759" s="8">
        <v>21475.0</v>
      </c>
      <c r="D759" s="8" t="s">
        <v>69</v>
      </c>
      <c r="F759" s="8" t="s">
        <v>103</v>
      </c>
      <c r="G759" s="8">
        <v>3750.0</v>
      </c>
      <c r="H759" s="8" t="s">
        <v>45</v>
      </c>
      <c r="K759" s="8" t="s">
        <v>46</v>
      </c>
      <c r="L759" s="8" t="s">
        <v>37</v>
      </c>
      <c r="P759" s="9">
        <v>44116.0</v>
      </c>
      <c r="Q759" s="10">
        <v>0.29166666666424135</v>
      </c>
      <c r="R759" s="11" t="str">
        <f t="shared" si="1"/>
        <v>Проверка на АОИ PRI</v>
      </c>
      <c r="S759" s="16" t="str">
        <f>iferror(VLOOKUP(C759,'ФИО'!A:B,2,0),"учётный код не найден")</f>
        <v>Байрамашвили Альберт Зурабович</v>
      </c>
      <c r="T759" s="13" t="str">
        <f t="shared" si="2"/>
        <v>ПУ 910-00349.A "Печатный узел основного блока E96 4LIN"</v>
      </c>
      <c r="U759" s="8">
        <v>648.0</v>
      </c>
      <c r="V759" s="8">
        <v>4.0</v>
      </c>
      <c r="W759" s="21" t="str">
        <f t="shared" si="83"/>
        <v>Данные не заполены</v>
      </c>
      <c r="X759" s="15" t="str">
        <f t="shared" si="74"/>
        <v>Данные не заполены</v>
      </c>
      <c r="Y759" s="15">
        <f t="shared" si="75"/>
        <v>0.006172839506</v>
      </c>
    </row>
    <row r="760" hidden="1">
      <c r="A760" s="7">
        <v>44107.321581516204</v>
      </c>
      <c r="B760" s="8" t="s">
        <v>76</v>
      </c>
      <c r="C760" s="8">
        <v>22011.0</v>
      </c>
      <c r="D760" s="8" t="s">
        <v>69</v>
      </c>
      <c r="F760" s="8" t="s">
        <v>80</v>
      </c>
      <c r="G760" s="8">
        <v>3047.0</v>
      </c>
      <c r="H760" s="8" t="s">
        <v>29</v>
      </c>
      <c r="I760" s="8" t="s">
        <v>77</v>
      </c>
      <c r="L760" s="8" t="s">
        <v>37</v>
      </c>
      <c r="M760" s="8" t="s">
        <v>34</v>
      </c>
      <c r="N760" s="8"/>
      <c r="O760" s="8"/>
      <c r="P760" s="9">
        <v>44106.0</v>
      </c>
      <c r="Q760" s="10">
        <v>0.33333333333575865</v>
      </c>
      <c r="R760" s="13" t="str">
        <f t="shared" si="1"/>
        <v>Пайка компонентов SEC</v>
      </c>
      <c r="S760" s="16" t="str">
        <f>iferror(VLOOKUP(C760,'ФИО'!A:B,2,0),"учётный код не найден")</f>
        <v>Сергеев Алексей Андреевич</v>
      </c>
      <c r="T760" s="13" t="str">
        <f t="shared" si="2"/>
        <v>915-00081.A-Модуль Трик8 (Кибертех)</v>
      </c>
      <c r="U760" s="8">
        <v>60.0</v>
      </c>
      <c r="V760" s="8">
        <v>0.0</v>
      </c>
      <c r="W760" s="21" t="str">
        <f t="shared" si="83"/>
        <v>Данные не заполены</v>
      </c>
      <c r="X760" s="15" t="str">
        <f t="shared" si="74"/>
        <v>Данные не заполены</v>
      </c>
      <c r="Y760" s="15">
        <f t="shared" si="75"/>
        <v>0</v>
      </c>
    </row>
    <row r="761" hidden="1">
      <c r="A761" s="7">
        <v>44110.14795695602</v>
      </c>
      <c r="B761" s="8" t="s">
        <v>94</v>
      </c>
      <c r="C761" s="8">
        <v>20985.0</v>
      </c>
      <c r="D761" s="8" t="s">
        <v>69</v>
      </c>
      <c r="F761" s="8" t="s">
        <v>80</v>
      </c>
      <c r="G761" s="8">
        <v>3233.0</v>
      </c>
      <c r="H761" s="8" t="s">
        <v>29</v>
      </c>
      <c r="I761" s="8" t="s">
        <v>60</v>
      </c>
      <c r="L761" s="8" t="s">
        <v>31</v>
      </c>
      <c r="M761" s="8" t="s">
        <v>34</v>
      </c>
      <c r="N761" s="8"/>
      <c r="O761" s="8"/>
      <c r="P761" s="9">
        <v>44109.0</v>
      </c>
      <c r="Q761" s="10">
        <v>0.010416666664241347</v>
      </c>
      <c r="R761" s="11" t="str">
        <f t="shared" si="1"/>
        <v>Пайка компонентов SEC</v>
      </c>
      <c r="S761" s="16" t="str">
        <f>iferror(VLOOKUP(C761,'ФИО'!A:B,2,0),"учётный код не найден")</f>
        <v>Никонорова Наталия Владимировна</v>
      </c>
      <c r="T761" s="13" t="str">
        <f t="shared" si="2"/>
        <v>915-00102.A - ПБОК-2В АСЛБ.465285.013 (Квант)</v>
      </c>
      <c r="U761" s="8">
        <v>8.0</v>
      </c>
      <c r="V761" s="8">
        <v>0.0</v>
      </c>
      <c r="W761" s="21" t="str">
        <f t="shared" si="83"/>
        <v>Данные не заполены</v>
      </c>
      <c r="X761" s="15" t="str">
        <f t="shared" si="74"/>
        <v>Данные не заполены</v>
      </c>
      <c r="Y761" s="15">
        <f t="shared" si="75"/>
        <v>0</v>
      </c>
    </row>
    <row r="762" hidden="1">
      <c r="A762" s="7">
        <v>44110.27595703704</v>
      </c>
      <c r="B762" s="8" t="s">
        <v>94</v>
      </c>
      <c r="C762" s="8">
        <v>20985.0</v>
      </c>
      <c r="D762" s="8" t="s">
        <v>69</v>
      </c>
      <c r="F762" s="8" t="s">
        <v>80</v>
      </c>
      <c r="G762" s="8">
        <v>3232.0</v>
      </c>
      <c r="H762" s="8" t="s">
        <v>29</v>
      </c>
      <c r="I762" s="8" t="s">
        <v>63</v>
      </c>
      <c r="L762" s="8" t="s">
        <v>31</v>
      </c>
      <c r="M762" s="8" t="s">
        <v>34</v>
      </c>
      <c r="N762" s="8"/>
      <c r="O762" s="8"/>
      <c r="P762" s="9">
        <v>44109.0</v>
      </c>
      <c r="Q762" s="10">
        <v>0.027777777781011537</v>
      </c>
      <c r="R762" s="11" t="str">
        <f t="shared" si="1"/>
        <v>Пайка компонентов SEC</v>
      </c>
      <c r="S762" s="16" t="str">
        <f>iferror(VLOOKUP(C762,'ФИО'!A:B,2,0),"учётный код не найден")</f>
        <v>Никонорова Наталия Владимировна</v>
      </c>
      <c r="T762" s="13" t="str">
        <f t="shared" si="2"/>
        <v>915-00103.A - ПБОК-1В АСЛБ.465285.012 (Квант)</v>
      </c>
      <c r="U762" s="8">
        <v>27.0</v>
      </c>
      <c r="V762" s="8">
        <v>0.0</v>
      </c>
      <c r="W762" s="21" t="str">
        <f t="shared" si="83"/>
        <v>Данные не заполены</v>
      </c>
      <c r="X762" s="15" t="str">
        <f t="shared" si="74"/>
        <v>Данные не заполены</v>
      </c>
      <c r="Y762" s="15">
        <f t="shared" si="75"/>
        <v>0</v>
      </c>
    </row>
    <row r="763" hidden="1">
      <c r="A763" s="7">
        <v>44110.82306207176</v>
      </c>
      <c r="B763" s="8" t="s">
        <v>89</v>
      </c>
      <c r="C763" s="8">
        <v>22011.0</v>
      </c>
      <c r="D763" s="8" t="s">
        <v>69</v>
      </c>
      <c r="F763" s="8" t="s">
        <v>80</v>
      </c>
      <c r="G763" s="8">
        <v>3047.0</v>
      </c>
      <c r="H763" s="8" t="s">
        <v>29</v>
      </c>
      <c r="I763" s="8" t="s">
        <v>77</v>
      </c>
      <c r="L763" s="8" t="s">
        <v>37</v>
      </c>
      <c r="P763" s="9">
        <v>44110.0</v>
      </c>
      <c r="Q763" s="10">
        <v>0.33333333333575865</v>
      </c>
      <c r="R763" s="11" t="str">
        <f t="shared" si="1"/>
        <v>Пайка компонентов SEC</v>
      </c>
      <c r="S763" s="16" t="str">
        <f>iferror(VLOOKUP(C763,'ФИО'!A:B,2,0),"учётный код не найден")</f>
        <v>Сергеев Алексей Андреевич</v>
      </c>
      <c r="T763" s="13" t="str">
        <f t="shared" si="2"/>
        <v>915-00081.A-Модуль Трик8 (Кибертех)</v>
      </c>
      <c r="U763" s="8">
        <v>0.0</v>
      </c>
      <c r="V763" s="8">
        <v>0.0</v>
      </c>
      <c r="W763" s="21" t="str">
        <f t="shared" si="83"/>
        <v>Данные не заполены</v>
      </c>
      <c r="X763" s="15" t="str">
        <f t="shared" si="74"/>
        <v>Данные не заполены</v>
      </c>
      <c r="Y763" s="15">
        <f t="shared" si="75"/>
        <v>0</v>
      </c>
    </row>
    <row r="764" hidden="1">
      <c r="A764" s="7">
        <v>44116.81965621527</v>
      </c>
      <c r="B764" s="8" t="s">
        <v>127</v>
      </c>
      <c r="C764" s="8">
        <v>22574.0</v>
      </c>
      <c r="D764" s="8" t="s">
        <v>27</v>
      </c>
      <c r="E764" s="8" t="s">
        <v>85</v>
      </c>
      <c r="G764" s="8">
        <v>3750.0</v>
      </c>
      <c r="H764" s="8" t="s">
        <v>45</v>
      </c>
      <c r="K764" s="8" t="s">
        <v>46</v>
      </c>
      <c r="L764" s="8" t="s">
        <v>31</v>
      </c>
      <c r="M764" s="8" t="s">
        <v>34</v>
      </c>
      <c r="N764" s="8"/>
      <c r="O764" s="8"/>
      <c r="P764" s="9">
        <v>44116.0</v>
      </c>
      <c r="Q764" s="10">
        <v>0.020833333335758653</v>
      </c>
      <c r="R764" s="11" t="str">
        <f t="shared" si="1"/>
        <v>Очистка трафаретного принтера</v>
      </c>
      <c r="S764" s="16" t="str">
        <f>iferror(VLOOKUP(C764,'ФИО'!A:B,2,0),"учётный код не найден")</f>
        <v>Шапенков Геннадий Михайлович</v>
      </c>
      <c r="T764" s="11" t="str">
        <f t="shared" si="2"/>
        <v>ПУ 910-00349.A "Печатный узел основного блока E96 4LIN"</v>
      </c>
      <c r="U764" s="8">
        <v>1.0</v>
      </c>
      <c r="V764" s="8">
        <v>0.0</v>
      </c>
      <c r="W764" s="17" t="str">
        <f t="shared" si="83"/>
        <v>Данные не заполены</v>
      </c>
      <c r="X764" s="14" t="str">
        <f t="shared" si="74"/>
        <v>Данные не заполены</v>
      </c>
      <c r="Y764" s="15">
        <f t="shared" si="75"/>
        <v>0</v>
      </c>
    </row>
    <row r="765" hidden="1">
      <c r="A765" s="7">
        <v>44118.83173359954</v>
      </c>
      <c r="B765" s="8" t="s">
        <v>89</v>
      </c>
      <c r="C765" s="8">
        <v>21852.0</v>
      </c>
      <c r="D765" s="8" t="s">
        <v>69</v>
      </c>
      <c r="F765" s="8" t="s">
        <v>80</v>
      </c>
      <c r="G765" s="8">
        <v>3234.0</v>
      </c>
      <c r="H765" s="8" t="s">
        <v>29</v>
      </c>
      <c r="I765" s="8" t="s">
        <v>135</v>
      </c>
      <c r="L765" s="8" t="s">
        <v>37</v>
      </c>
      <c r="P765" s="9">
        <v>44118.0</v>
      </c>
      <c r="Q765" s="10">
        <v>0.14583333333575865</v>
      </c>
      <c r="R765" s="11" t="str">
        <f t="shared" si="1"/>
        <v>Пайка компонентов SEC</v>
      </c>
      <c r="S765" s="16" t="str">
        <f>iferror(VLOOKUP(C765,'ФИО'!A:B,2,0),"учётный код не найден")</f>
        <v>Пономарев Юрий Андреевич</v>
      </c>
      <c r="T765" s="13" t="str">
        <f t="shared" si="2"/>
        <v>915-00101.A - ПКД-9В АСЛБ.467249.107 (Квант)</v>
      </c>
      <c r="U765" s="8">
        <v>0.0</v>
      </c>
      <c r="V765" s="8">
        <v>0.0</v>
      </c>
      <c r="W765" s="17" t="str">
        <f t="shared" si="83"/>
        <v>Данные не заполены</v>
      </c>
      <c r="X765" s="14" t="str">
        <f t="shared" si="74"/>
        <v>Данные не заполены</v>
      </c>
      <c r="Y765" s="15">
        <f t="shared" si="75"/>
        <v>0</v>
      </c>
    </row>
    <row r="766" hidden="1">
      <c r="A766" s="7">
        <v>44118.3321190162</v>
      </c>
      <c r="B766" s="8" t="s">
        <v>94</v>
      </c>
      <c r="C766" s="8">
        <v>22575.0</v>
      </c>
      <c r="D766" s="8" t="s">
        <v>27</v>
      </c>
      <c r="E766" s="8" t="s">
        <v>121</v>
      </c>
      <c r="G766" s="8">
        <v>3622.0</v>
      </c>
      <c r="H766" s="8" t="s">
        <v>29</v>
      </c>
      <c r="I766" s="8" t="s">
        <v>90</v>
      </c>
      <c r="L766" s="8" t="s">
        <v>31</v>
      </c>
      <c r="M766" s="8" t="s">
        <v>34</v>
      </c>
      <c r="P766" s="9">
        <v>44117.0</v>
      </c>
      <c r="Q766" s="10">
        <v>0.06944444444525288</v>
      </c>
      <c r="R766" s="11" t="str">
        <f t="shared" si="1"/>
        <v>Настройка линии Secondary</v>
      </c>
      <c r="S766" s="16" t="str">
        <f>iferror(VLOOKUP(C766,'ФИО'!A:B,2,0),"учётный код не найден")</f>
        <v>Куликов Виктор Алексеевич</v>
      </c>
      <c r="T766" s="13" t="str">
        <f t="shared" si="2"/>
        <v>915-00124.A - Tioga Pass_v1.1 (Гагар.ин)</v>
      </c>
      <c r="U766" s="8">
        <v>0.0</v>
      </c>
      <c r="V766" s="8">
        <v>0.0</v>
      </c>
      <c r="W766" s="17" t="str">
        <f t="shared" si="83"/>
        <v>Данные не заполены</v>
      </c>
      <c r="X766" s="14" t="str">
        <f t="shared" si="74"/>
        <v>Данные не заполены</v>
      </c>
      <c r="Y766" s="15">
        <f t="shared" si="75"/>
        <v>0</v>
      </c>
    </row>
    <row r="767" hidden="1">
      <c r="A767" s="7">
        <v>44127.77490719907</v>
      </c>
      <c r="B767" s="8" t="s">
        <v>89</v>
      </c>
      <c r="C767" s="8">
        <v>20015.0</v>
      </c>
      <c r="D767" s="8" t="s">
        <v>27</v>
      </c>
      <c r="E767" s="8" t="s">
        <v>82</v>
      </c>
      <c r="G767" s="8">
        <v>3621.0</v>
      </c>
      <c r="H767" s="8" t="s">
        <v>29</v>
      </c>
      <c r="I767" s="8" t="s">
        <v>54</v>
      </c>
      <c r="L767" s="8" t="s">
        <v>31</v>
      </c>
      <c r="M767" s="8" t="s">
        <v>34</v>
      </c>
      <c r="P767" s="9">
        <v>44127.0</v>
      </c>
      <c r="Q767" s="10">
        <v>0.020833333335758653</v>
      </c>
      <c r="R767" s="11" t="str">
        <f t="shared" si="1"/>
        <v>Настройка установщиков</v>
      </c>
      <c r="S767" s="16" t="str">
        <f>iferror(VLOOKUP(C767,'ФИО'!A:B,2,0),"учётный код не найден")</f>
        <v>Ельцов Андрей Николаевич</v>
      </c>
      <c r="T767" s="13" t="str">
        <f t="shared" si="2"/>
        <v>915-00121.A - Процессорный модуль РСЕН.469555.027 (КНС Групп)</v>
      </c>
      <c r="U767" s="8">
        <v>0.0</v>
      </c>
      <c r="V767" s="8">
        <v>0.0</v>
      </c>
      <c r="W767" s="17" t="str">
        <f t="shared" si="83"/>
        <v>Данные не заполены</v>
      </c>
      <c r="X767" s="14" t="str">
        <f t="shared" si="74"/>
        <v>Данные не заполены</v>
      </c>
      <c r="Y767" s="15">
        <f t="shared" si="75"/>
        <v>0</v>
      </c>
    </row>
    <row r="768" hidden="1">
      <c r="A768" s="7">
        <v>44118.332525046295</v>
      </c>
      <c r="B768" s="8" t="s">
        <v>94</v>
      </c>
      <c r="C768" s="8">
        <v>22575.0</v>
      </c>
      <c r="D768" s="8" t="s">
        <v>27</v>
      </c>
      <c r="E768" s="8" t="s">
        <v>111</v>
      </c>
      <c r="L768" s="8" t="s">
        <v>31</v>
      </c>
      <c r="M768" s="8" t="s">
        <v>34</v>
      </c>
      <c r="P768" s="9">
        <v>44117.0</v>
      </c>
      <c r="Q768" s="10">
        <v>0.006944444445252884</v>
      </c>
      <c r="R768" s="11" t="str">
        <f t="shared" si="1"/>
        <v>Уборка линии</v>
      </c>
      <c r="S768" s="16" t="str">
        <f>iferror(VLOOKUP(C768,'ФИО'!A:B,2,0),"учётный код не найден")</f>
        <v>Куликов Виктор Алексеевич</v>
      </c>
      <c r="T768" s="13" t="str">
        <f t="shared" si="2"/>
        <v/>
      </c>
      <c r="W768" s="17" t="str">
        <f t="shared" si="83"/>
        <v>Данные не заполены</v>
      </c>
      <c r="X768" s="14" t="str">
        <f t="shared" si="74"/>
        <v>Данные не заполены</v>
      </c>
      <c r="Y768" s="15">
        <f t="shared" si="75"/>
        <v>0</v>
      </c>
    </row>
    <row r="769" hidden="1">
      <c r="A769" s="7">
        <v>44130.78164085648</v>
      </c>
      <c r="B769" s="8" t="s">
        <v>87</v>
      </c>
      <c r="C769" s="8">
        <v>20985.0</v>
      </c>
      <c r="D769" s="8" t="s">
        <v>69</v>
      </c>
      <c r="F769" s="8" t="s">
        <v>80</v>
      </c>
      <c r="G769" s="8">
        <v>3252.0</v>
      </c>
      <c r="H769" s="8" t="s">
        <v>29</v>
      </c>
      <c r="I769" s="8" t="s">
        <v>96</v>
      </c>
      <c r="L769" s="8" t="s">
        <v>31</v>
      </c>
      <c r="M769" s="8" t="s">
        <v>34</v>
      </c>
      <c r="P769" s="9">
        <v>44130.0</v>
      </c>
      <c r="Q769" s="10">
        <v>0.013888888890505768</v>
      </c>
      <c r="R769" s="11" t="str">
        <f t="shared" si="1"/>
        <v>Пайка компонентов SEC</v>
      </c>
      <c r="S769" s="12" t="str">
        <f>iferror(VLOOKUP(C769,'ФИО'!A:B,2,0),"учётный код не найден")</f>
        <v>Никонорова Наталия Владимировна</v>
      </c>
      <c r="T769" s="13" t="str">
        <f t="shared" si="2"/>
        <v>915-00096.A - ПКД-8В-2 АСЛБ.467249.109</v>
      </c>
      <c r="U769" s="8">
        <v>6.0</v>
      </c>
      <c r="V769" s="8">
        <v>0.0</v>
      </c>
      <c r="W769" s="17" t="str">
        <f t="shared" si="83"/>
        <v>Данные не заполены</v>
      </c>
      <c r="X769" s="14" t="str">
        <f t="shared" si="74"/>
        <v>Данные не заполены</v>
      </c>
      <c r="Y769" s="15">
        <f t="shared" si="75"/>
        <v>0</v>
      </c>
    </row>
    <row r="770" hidden="1">
      <c r="A770" s="7">
        <v>44130.786844965274</v>
      </c>
      <c r="B770" s="8" t="s">
        <v>87</v>
      </c>
      <c r="C770" s="8">
        <v>20985.0</v>
      </c>
      <c r="D770" s="8" t="s">
        <v>69</v>
      </c>
      <c r="F770" s="8" t="s">
        <v>80</v>
      </c>
      <c r="G770" s="8">
        <v>3253.0</v>
      </c>
      <c r="H770" s="8" t="s">
        <v>29</v>
      </c>
      <c r="I770" s="8" t="s">
        <v>95</v>
      </c>
      <c r="L770" s="8" t="s">
        <v>31</v>
      </c>
      <c r="M770" s="8" t="s">
        <v>34</v>
      </c>
      <c r="P770" s="9">
        <v>44130.0</v>
      </c>
      <c r="Q770" s="10">
        <v>0.05902777778101154</v>
      </c>
      <c r="R770" s="11" t="str">
        <f t="shared" si="1"/>
        <v>Пайка компонентов SEC</v>
      </c>
      <c r="S770" s="12" t="str">
        <f>iferror(VLOOKUP(C770,'ФИО'!A:B,2,0),"учётный код не найден")</f>
        <v>Никонорова Наталия Владимировна</v>
      </c>
      <c r="T770" s="13" t="str">
        <f t="shared" si="2"/>
        <v>915-00095.A - ПКД-8В-1 АСЛБ.467249.108 (Квант)</v>
      </c>
      <c r="U770" s="8">
        <v>0.0</v>
      </c>
      <c r="V770" s="8">
        <v>0.0</v>
      </c>
      <c r="W770" s="17" t="str">
        <f t="shared" si="83"/>
        <v>Данные не заполены</v>
      </c>
      <c r="X770" s="14" t="str">
        <f t="shared" si="74"/>
        <v>Данные не заполены</v>
      </c>
      <c r="Y770" s="15">
        <f t="shared" si="75"/>
        <v>0</v>
      </c>
    </row>
    <row r="771" hidden="1">
      <c r="A771" s="7">
        <v>44112.35288215277</v>
      </c>
      <c r="B771" s="8" t="s">
        <v>126</v>
      </c>
      <c r="C771" s="8">
        <v>22063.0</v>
      </c>
      <c r="D771" s="8" t="s">
        <v>27</v>
      </c>
      <c r="E771" s="8" t="s">
        <v>85</v>
      </c>
      <c r="G771" s="8">
        <v>3580.0</v>
      </c>
      <c r="H771" s="8" t="s">
        <v>29</v>
      </c>
      <c r="I771" s="8" t="s">
        <v>146</v>
      </c>
      <c r="L771" s="8" t="s">
        <v>31</v>
      </c>
      <c r="M771" s="8" t="s">
        <v>34</v>
      </c>
      <c r="N771" s="8"/>
      <c r="O771" s="8"/>
      <c r="P771" s="9">
        <v>44111.0</v>
      </c>
      <c r="Q771" s="10">
        <v>0.013888888890505768</v>
      </c>
      <c r="R771" s="11" t="str">
        <f t="shared" si="1"/>
        <v>Очистка трафаретного принтера</v>
      </c>
      <c r="S771" s="16" t="str">
        <f>iferror(VLOOKUP(C771,'ФИО'!A:B,2,0),"учётный код не найден")</f>
        <v>Белоглазов Сергей Анатольевич</v>
      </c>
      <c r="T771" s="13" t="str">
        <f t="shared" si="2"/>
        <v>XR (Термотроник)</v>
      </c>
      <c r="U771" s="8">
        <v>0.0</v>
      </c>
      <c r="V771" s="8">
        <v>0.0</v>
      </c>
      <c r="W771" s="21" t="str">
        <f t="shared" si="83"/>
        <v>Данные не заполены</v>
      </c>
      <c r="X771" s="15" t="str">
        <f t="shared" si="74"/>
        <v>Данные не заполены</v>
      </c>
      <c r="Y771" s="15">
        <f t="shared" si="75"/>
        <v>0</v>
      </c>
    </row>
    <row r="772" hidden="1">
      <c r="A772" s="7">
        <v>44131.33482510417</v>
      </c>
      <c r="B772" s="8" t="s">
        <v>76</v>
      </c>
      <c r="C772" s="8">
        <v>21852.0</v>
      </c>
      <c r="D772" s="8" t="s">
        <v>69</v>
      </c>
      <c r="F772" s="8" t="s">
        <v>185</v>
      </c>
      <c r="G772" s="8">
        <v>3253.0</v>
      </c>
      <c r="H772" s="8" t="s">
        <v>29</v>
      </c>
      <c r="I772" s="8" t="s">
        <v>95</v>
      </c>
      <c r="L772" s="8" t="s">
        <v>31</v>
      </c>
      <c r="M772" s="8" t="s">
        <v>213</v>
      </c>
      <c r="P772" s="9">
        <v>44130.0</v>
      </c>
      <c r="Q772" s="10">
        <v>0.08333333333575865</v>
      </c>
      <c r="R772" s="11" t="str">
        <f t="shared" si="1"/>
        <v>Подготовка компонентов к пайке</v>
      </c>
      <c r="S772" s="12" t="str">
        <f>iferror(VLOOKUP(C772,'ФИО'!A:B,2,0),"учётный код не найден")</f>
        <v>Пономарев Юрий Андреевич</v>
      </c>
      <c r="T772" s="13" t="str">
        <f t="shared" si="2"/>
        <v>915-00095.A - ПКД-8В-1 АСЛБ.467249.108 (Квант)</v>
      </c>
      <c r="U772" s="8">
        <v>0.0</v>
      </c>
      <c r="V772" s="8">
        <v>0.0</v>
      </c>
      <c r="W772" s="17" t="str">
        <f t="shared" si="83"/>
        <v>Данные не заполены</v>
      </c>
      <c r="X772" s="14" t="str">
        <f t="shared" si="74"/>
        <v>Данные не заполены</v>
      </c>
      <c r="Y772" s="15">
        <f t="shared" si="75"/>
        <v>0</v>
      </c>
    </row>
    <row r="773" hidden="1">
      <c r="A773" s="7">
        <v>44119.30978090278</v>
      </c>
      <c r="B773" s="8" t="s">
        <v>94</v>
      </c>
      <c r="C773" s="8">
        <v>22131.0</v>
      </c>
      <c r="D773" s="8" t="s">
        <v>27</v>
      </c>
      <c r="E773" s="8" t="s">
        <v>86</v>
      </c>
      <c r="L773" s="8" t="s">
        <v>31</v>
      </c>
      <c r="M773" s="8" t="s">
        <v>34</v>
      </c>
      <c r="P773" s="9">
        <v>44118.0</v>
      </c>
      <c r="Q773" s="10">
        <v>0.0625</v>
      </c>
      <c r="R773" s="11" t="str">
        <f t="shared" si="1"/>
        <v>Проведение обучения</v>
      </c>
      <c r="S773" s="16" t="str">
        <f>iferror(VLOOKUP(C773,'ФИО'!A:B,2,0),"учётный код не найден")</f>
        <v>Стосик Степан Владимирович</v>
      </c>
      <c r="T773" s="13" t="str">
        <f t="shared" si="2"/>
        <v/>
      </c>
      <c r="W773" s="17" t="str">
        <f t="shared" si="83"/>
        <v>Данные не заполены</v>
      </c>
      <c r="X773" s="14" t="str">
        <f t="shared" si="74"/>
        <v>Данные не заполены</v>
      </c>
      <c r="Y773" s="15">
        <f t="shared" si="75"/>
        <v>0</v>
      </c>
    </row>
    <row r="774" hidden="1">
      <c r="A774" s="7">
        <v>44119.32269855324</v>
      </c>
      <c r="B774" s="8" t="s">
        <v>94</v>
      </c>
      <c r="C774" s="8">
        <v>21426.0</v>
      </c>
      <c r="D774" s="8" t="s">
        <v>27</v>
      </c>
      <c r="E774" s="8" t="s">
        <v>86</v>
      </c>
      <c r="L774" s="8" t="s">
        <v>31</v>
      </c>
      <c r="M774" s="8" t="s">
        <v>34</v>
      </c>
      <c r="P774" s="9">
        <v>44118.0</v>
      </c>
      <c r="Q774" s="10">
        <v>0.04166666666424135</v>
      </c>
      <c r="R774" s="11" t="str">
        <f t="shared" si="1"/>
        <v>Проведение обучения</v>
      </c>
      <c r="S774" s="16" t="str">
        <f>iferror(VLOOKUP(C774,'ФИО'!A:B,2,0),"учётный код не найден")</f>
        <v>Скибинский Антон Германович</v>
      </c>
      <c r="T774" s="13" t="str">
        <f t="shared" si="2"/>
        <v/>
      </c>
      <c r="W774" s="17" t="str">
        <f t="shared" si="83"/>
        <v>Данные не заполены</v>
      </c>
      <c r="X774" s="14" t="str">
        <f t="shared" si="74"/>
        <v>Данные не заполены</v>
      </c>
      <c r="Y774" s="15">
        <f t="shared" si="75"/>
        <v>0</v>
      </c>
    </row>
    <row r="775" hidden="1">
      <c r="A775" s="7">
        <v>44119.32350215278</v>
      </c>
      <c r="B775" s="8" t="s">
        <v>94</v>
      </c>
      <c r="C775" s="8">
        <v>21928.0</v>
      </c>
      <c r="D775" s="8" t="s">
        <v>27</v>
      </c>
      <c r="E775" s="8" t="s">
        <v>86</v>
      </c>
      <c r="L775" s="8" t="s">
        <v>31</v>
      </c>
      <c r="M775" s="8" t="s">
        <v>34</v>
      </c>
      <c r="P775" s="9">
        <v>44118.0</v>
      </c>
      <c r="Q775" s="10">
        <v>0.020833333335758653</v>
      </c>
      <c r="R775" s="11" t="str">
        <f t="shared" si="1"/>
        <v>Проведение обучения</v>
      </c>
      <c r="S775" s="16" t="str">
        <f>iferror(VLOOKUP(C775,'ФИО'!A:B,2,0),"учётный код не найден")</f>
        <v>Савченко Виктория Андреевна</v>
      </c>
      <c r="T775" s="13" t="str">
        <f t="shared" si="2"/>
        <v/>
      </c>
      <c r="W775" s="17" t="str">
        <f t="shared" si="83"/>
        <v>Данные не заполены</v>
      </c>
      <c r="X775" s="14" t="str">
        <f t="shared" si="74"/>
        <v>Данные не заполены</v>
      </c>
      <c r="Y775" s="15">
        <f t="shared" si="75"/>
        <v>0</v>
      </c>
    </row>
    <row r="776" hidden="1">
      <c r="A776" s="7">
        <v>44119.30554677083</v>
      </c>
      <c r="B776" s="8" t="s">
        <v>94</v>
      </c>
      <c r="C776" s="8">
        <v>20985.0</v>
      </c>
      <c r="D776" s="8" t="s">
        <v>27</v>
      </c>
      <c r="E776" s="8" t="s">
        <v>86</v>
      </c>
      <c r="L776" s="8" t="s">
        <v>31</v>
      </c>
      <c r="M776" s="8" t="s">
        <v>34</v>
      </c>
      <c r="P776" s="9">
        <v>44118.0</v>
      </c>
      <c r="Q776" s="10">
        <v>0.020833333335758653</v>
      </c>
      <c r="R776" s="11" t="str">
        <f t="shared" si="1"/>
        <v>Проведение обучения</v>
      </c>
      <c r="S776" s="16" t="str">
        <f>iferror(VLOOKUP(C776,'ФИО'!A:B,2,0),"учётный код не найден")</f>
        <v>Никонорова Наталия Владимировна</v>
      </c>
      <c r="T776" s="13" t="str">
        <f t="shared" si="2"/>
        <v/>
      </c>
      <c r="W776" s="17" t="str">
        <f t="shared" si="83"/>
        <v>Данные не заполены</v>
      </c>
      <c r="X776" s="14" t="str">
        <f t="shared" si="74"/>
        <v>Данные не заполены</v>
      </c>
      <c r="Y776" s="15">
        <f t="shared" si="75"/>
        <v>0</v>
      </c>
    </row>
    <row r="777" hidden="1">
      <c r="A777" s="7">
        <v>44126.323770104165</v>
      </c>
      <c r="B777" s="8" t="s">
        <v>94</v>
      </c>
      <c r="C777" s="8">
        <v>21426.0</v>
      </c>
      <c r="D777" s="8" t="s">
        <v>27</v>
      </c>
      <c r="E777" s="8" t="s">
        <v>86</v>
      </c>
      <c r="L777" s="8" t="s">
        <v>31</v>
      </c>
      <c r="M777" s="8" t="s">
        <v>34</v>
      </c>
      <c r="P777" s="9">
        <v>44125.0</v>
      </c>
      <c r="Q777" s="10">
        <v>0.020833333335758653</v>
      </c>
      <c r="R777" s="11" t="str">
        <f t="shared" si="1"/>
        <v>Проведение обучения</v>
      </c>
      <c r="S777" s="16" t="str">
        <f>iferror(VLOOKUP(C777,'ФИО'!A:B,2,0),"учётный код не найден")</f>
        <v>Скибинский Антон Германович</v>
      </c>
      <c r="T777" s="13" t="str">
        <f t="shared" si="2"/>
        <v/>
      </c>
    </row>
    <row r="778" hidden="1">
      <c r="A778" s="7">
        <v>44126.788486377314</v>
      </c>
      <c r="B778" s="8" t="s">
        <v>89</v>
      </c>
      <c r="C778" s="8">
        <v>20693.0</v>
      </c>
      <c r="D778" s="8" t="s">
        <v>27</v>
      </c>
      <c r="E778" s="8" t="s">
        <v>86</v>
      </c>
      <c r="L778" s="8" t="s">
        <v>31</v>
      </c>
      <c r="M778" s="8" t="s">
        <v>34</v>
      </c>
      <c r="P778" s="9">
        <v>44126.0</v>
      </c>
      <c r="Q778" s="10">
        <v>0.020833333335758653</v>
      </c>
      <c r="R778" s="11" t="str">
        <f t="shared" si="1"/>
        <v>Проведение обучения</v>
      </c>
      <c r="S778" s="16" t="str">
        <f>iferror(VLOOKUP(C778,'ФИО'!A:B,2,0),"учётный код не найден")</f>
        <v>Аникина Раиса Владимировна</v>
      </c>
      <c r="T778" s="13" t="str">
        <f t="shared" si="2"/>
        <v/>
      </c>
      <c r="W778" s="17" t="str">
        <f t="shared" ref="W778:W787" si="84">IFERROR((((38412/(ifs(O778&lt;35,35,O778&gt;34,O778)/N778)*0.7))),"Данные не заполены")</f>
        <v>Данные не заполены</v>
      </c>
      <c r="X778" s="14" t="str">
        <f t="shared" ref="X778:X805" si="85">IFERROR((((V778+U778)/Q778)/24)/(W778/11),"Данные не заполены")</f>
        <v>Данные не заполены</v>
      </c>
      <c r="Y778" s="15">
        <f t="shared" ref="Y778:Y805" si="86">iferror((V778/if(U778=0,1,U778)),0)</f>
        <v>0</v>
      </c>
    </row>
    <row r="779" hidden="1">
      <c r="A779" s="7">
        <v>44105.82004186342</v>
      </c>
      <c r="B779" s="8" t="s">
        <v>26</v>
      </c>
      <c r="C779" s="8">
        <v>20751.0</v>
      </c>
      <c r="D779" s="18" t="s">
        <v>27</v>
      </c>
      <c r="E779" s="8" t="s">
        <v>86</v>
      </c>
      <c r="G779" s="11"/>
      <c r="L779" s="18" t="s">
        <v>31</v>
      </c>
      <c r="M779" s="8" t="s">
        <v>34</v>
      </c>
      <c r="N779" s="8"/>
      <c r="O779" s="8"/>
      <c r="P779" s="19">
        <v>44105.0</v>
      </c>
      <c r="Q779" s="20">
        <v>0.04166666666424135</v>
      </c>
      <c r="R779" s="13" t="str">
        <f t="shared" si="1"/>
        <v>Проведение обучения</v>
      </c>
      <c r="S779" s="16" t="str">
        <f>iferror(VLOOKUP(C779,'ФИО'!A:B,2,0),"учётный код не найден")</f>
        <v>Кезерев Виталий Романович</v>
      </c>
      <c r="T779" s="13" t="str">
        <f t="shared" si="2"/>
        <v/>
      </c>
      <c r="W779" s="21" t="str">
        <f t="shared" si="84"/>
        <v>Данные не заполены</v>
      </c>
      <c r="X779" s="15" t="str">
        <f t="shared" si="85"/>
        <v>Данные не заполены</v>
      </c>
      <c r="Y779" s="15">
        <f t="shared" si="86"/>
        <v>0</v>
      </c>
    </row>
    <row r="780" hidden="1">
      <c r="A780" s="7">
        <v>44130.22794736111</v>
      </c>
      <c r="B780" s="8" t="s">
        <v>76</v>
      </c>
      <c r="C780" s="8">
        <v>22011.0</v>
      </c>
      <c r="D780" s="8" t="s">
        <v>27</v>
      </c>
      <c r="E780" s="8" t="s">
        <v>86</v>
      </c>
      <c r="L780" s="8" t="s">
        <v>31</v>
      </c>
      <c r="M780" s="8" t="s">
        <v>34</v>
      </c>
      <c r="P780" s="9">
        <v>44129.0</v>
      </c>
      <c r="Q780" s="10">
        <v>0.013888888890505768</v>
      </c>
      <c r="R780" s="11" t="str">
        <f t="shared" si="1"/>
        <v>Проведение обучения</v>
      </c>
      <c r="S780" s="12" t="str">
        <f>iferror(VLOOKUP(C780,'ФИО'!A:B,2,0),"учётный код не найден")</f>
        <v>Сергеев Алексей Андреевич</v>
      </c>
      <c r="T780" s="13" t="str">
        <f t="shared" si="2"/>
        <v/>
      </c>
      <c r="W780" s="17" t="str">
        <f t="shared" si="84"/>
        <v>Данные не заполены</v>
      </c>
      <c r="X780" s="14" t="str">
        <f t="shared" si="85"/>
        <v>Данные не заполены</v>
      </c>
      <c r="Y780" s="15">
        <f t="shared" si="86"/>
        <v>0</v>
      </c>
    </row>
    <row r="781" hidden="1">
      <c r="A781" s="7">
        <v>44130.254318645835</v>
      </c>
      <c r="B781" s="8" t="s">
        <v>76</v>
      </c>
      <c r="C781" s="8">
        <v>20693.0</v>
      </c>
      <c r="D781" s="8" t="s">
        <v>27</v>
      </c>
      <c r="E781" s="8" t="s">
        <v>86</v>
      </c>
      <c r="L781" s="8" t="s">
        <v>37</v>
      </c>
      <c r="P781" s="9">
        <v>44129.0</v>
      </c>
      <c r="Q781" s="10">
        <v>0.013888888890505768</v>
      </c>
      <c r="R781" s="11" t="str">
        <f t="shared" si="1"/>
        <v>Проведение обучения</v>
      </c>
      <c r="S781" s="12" t="str">
        <f>iferror(VLOOKUP(C781,'ФИО'!A:B,2,0),"учётный код не найден")</f>
        <v>Аникина Раиса Владимировна</v>
      </c>
      <c r="T781" s="13" t="str">
        <f t="shared" si="2"/>
        <v/>
      </c>
      <c r="W781" s="17" t="str">
        <f t="shared" si="84"/>
        <v>Данные не заполены</v>
      </c>
      <c r="X781" s="14" t="str">
        <f t="shared" si="85"/>
        <v>Данные не заполены</v>
      </c>
      <c r="Y781" s="15">
        <f t="shared" si="86"/>
        <v>0</v>
      </c>
    </row>
    <row r="782" hidden="1">
      <c r="A782" s="7">
        <v>44130.3061859375</v>
      </c>
      <c r="B782" s="8" t="s">
        <v>76</v>
      </c>
      <c r="C782" s="8">
        <v>21954.0</v>
      </c>
      <c r="D782" s="8" t="s">
        <v>27</v>
      </c>
      <c r="E782" s="8" t="s">
        <v>86</v>
      </c>
      <c r="L782" s="8" t="s">
        <v>31</v>
      </c>
      <c r="M782" s="8" t="s">
        <v>34</v>
      </c>
      <c r="P782" s="9">
        <v>44129.0</v>
      </c>
      <c r="Q782" s="10">
        <v>0.010416666664241347</v>
      </c>
      <c r="R782" s="11" t="str">
        <f t="shared" si="1"/>
        <v>Проведение обучения</v>
      </c>
      <c r="S782" s="12" t="str">
        <f>iferror(VLOOKUP(C782,'ФИО'!A:B,2,0),"учётный код не найден")</f>
        <v>Александров Александр Викторович</v>
      </c>
      <c r="T782" s="13" t="str">
        <f t="shared" si="2"/>
        <v/>
      </c>
      <c r="U782" s="8">
        <v>0.0</v>
      </c>
      <c r="V782" s="8">
        <v>0.0</v>
      </c>
      <c r="W782" s="17" t="str">
        <f t="shared" si="84"/>
        <v>Данные не заполены</v>
      </c>
      <c r="X782" s="14" t="str">
        <f t="shared" si="85"/>
        <v>Данные не заполены</v>
      </c>
      <c r="Y782" s="15">
        <f t="shared" si="86"/>
        <v>0</v>
      </c>
    </row>
    <row r="783" hidden="1">
      <c r="A783" s="7">
        <v>44130.31453297454</v>
      </c>
      <c r="B783" s="8" t="s">
        <v>76</v>
      </c>
      <c r="C783" s="8">
        <v>21852.0</v>
      </c>
      <c r="D783" s="8" t="s">
        <v>27</v>
      </c>
      <c r="E783" s="8" t="s">
        <v>86</v>
      </c>
      <c r="L783" s="8" t="s">
        <v>31</v>
      </c>
      <c r="M783" s="8" t="s">
        <v>34</v>
      </c>
      <c r="P783" s="9">
        <v>44129.0</v>
      </c>
      <c r="Q783" s="10">
        <v>0.020833333335758653</v>
      </c>
      <c r="R783" s="11" t="str">
        <f t="shared" si="1"/>
        <v>Проведение обучения</v>
      </c>
      <c r="S783" s="12" t="str">
        <f>iferror(VLOOKUP(C783,'ФИО'!A:B,2,0),"учётный код не найден")</f>
        <v>Пономарев Юрий Андреевич</v>
      </c>
      <c r="T783" s="13" t="str">
        <f t="shared" si="2"/>
        <v/>
      </c>
      <c r="W783" s="17" t="str">
        <f t="shared" si="84"/>
        <v>Данные не заполены</v>
      </c>
      <c r="X783" s="14" t="str">
        <f t="shared" si="85"/>
        <v>Данные не заполены</v>
      </c>
      <c r="Y783" s="15">
        <f t="shared" si="86"/>
        <v>0</v>
      </c>
    </row>
    <row r="784" hidden="1">
      <c r="A784" s="7">
        <v>44130.804651666665</v>
      </c>
      <c r="B784" s="8" t="s">
        <v>87</v>
      </c>
      <c r="C784" s="8">
        <v>21426.0</v>
      </c>
      <c r="D784" s="8" t="s">
        <v>27</v>
      </c>
      <c r="E784" s="8" t="s">
        <v>86</v>
      </c>
      <c r="L784" s="8" t="s">
        <v>31</v>
      </c>
      <c r="M784" s="8" t="s">
        <v>34</v>
      </c>
      <c r="P784" s="9">
        <v>44130.0</v>
      </c>
      <c r="Q784" s="10">
        <v>0.027777777781011537</v>
      </c>
      <c r="R784" s="11" t="str">
        <f t="shared" si="1"/>
        <v>Проведение обучения</v>
      </c>
      <c r="S784" s="12" t="str">
        <f>iferror(VLOOKUP(C784,'ФИО'!A:B,2,0),"учётный код не найден")</f>
        <v>Скибинский Антон Германович</v>
      </c>
      <c r="T784" s="13" t="str">
        <f t="shared" si="2"/>
        <v/>
      </c>
      <c r="W784" s="17" t="str">
        <f t="shared" si="84"/>
        <v>Данные не заполены</v>
      </c>
      <c r="X784" s="14" t="str">
        <f t="shared" si="85"/>
        <v>Данные не заполены</v>
      </c>
      <c r="Y784" s="15">
        <f t="shared" si="86"/>
        <v>0</v>
      </c>
    </row>
    <row r="785" hidden="1">
      <c r="A785" s="7">
        <v>44121.83434435185</v>
      </c>
      <c r="B785" s="8" t="s">
        <v>26</v>
      </c>
      <c r="C785" s="8">
        <v>21475.0</v>
      </c>
      <c r="D785" s="8" t="s">
        <v>69</v>
      </c>
      <c r="F785" s="8" t="s">
        <v>103</v>
      </c>
      <c r="G785" s="8">
        <v>3579.0</v>
      </c>
      <c r="H785" s="8" t="s">
        <v>29</v>
      </c>
      <c r="I785" s="8" t="s">
        <v>42</v>
      </c>
      <c r="L785" s="8" t="s">
        <v>37</v>
      </c>
      <c r="P785" s="9">
        <v>44121.0</v>
      </c>
      <c r="Q785" s="10">
        <v>0.0625</v>
      </c>
      <c r="R785" s="11" t="str">
        <f t="shared" si="1"/>
        <v>Проверка на АОИ PRI</v>
      </c>
      <c r="S785" s="16" t="str">
        <f>iferror(VLOOKUP(C785,'ФИО'!A:B,2,0),"учётный код не найден")</f>
        <v>Байрамашвили Альберт Зурабович</v>
      </c>
      <c r="T785" s="13" t="str">
        <f t="shared" si="2"/>
        <v>915-00070.A - Модуль телематики ТМ1 v3 (Сознательные машины)</v>
      </c>
      <c r="U785" s="8">
        <v>75.0</v>
      </c>
      <c r="V785" s="8">
        <v>0.0</v>
      </c>
      <c r="W785" s="17" t="str">
        <f t="shared" si="84"/>
        <v>Данные не заполены</v>
      </c>
      <c r="X785" s="14" t="str">
        <f t="shared" si="85"/>
        <v>Данные не заполены</v>
      </c>
      <c r="Y785" s="15">
        <f t="shared" si="86"/>
        <v>0</v>
      </c>
    </row>
    <row r="786" hidden="1">
      <c r="A786" s="7">
        <v>44108.32150523148</v>
      </c>
      <c r="B786" s="8" t="s">
        <v>38</v>
      </c>
      <c r="C786" s="8">
        <v>21752.0</v>
      </c>
      <c r="D786" s="8" t="s">
        <v>69</v>
      </c>
      <c r="F786" s="8" t="s">
        <v>81</v>
      </c>
      <c r="G786" s="8">
        <v>3047.0</v>
      </c>
      <c r="H786" s="8" t="s">
        <v>29</v>
      </c>
      <c r="I786" s="8" t="s">
        <v>77</v>
      </c>
      <c r="L786" s="8" t="s">
        <v>37</v>
      </c>
      <c r="P786" s="9">
        <v>44107.0</v>
      </c>
      <c r="Q786" s="10">
        <v>0.08333333333575865</v>
      </c>
      <c r="R786" s="11" t="str">
        <f t="shared" si="1"/>
        <v>Проверка на АОИ SEC</v>
      </c>
      <c r="S786" s="16" t="str">
        <f>iferror(VLOOKUP(C786,'ФИО'!A:B,2,0),"учётный код не найден")</f>
        <v>Егоров Александр Александрович</v>
      </c>
      <c r="T786" s="13" t="str">
        <f t="shared" si="2"/>
        <v>915-00081.A-Модуль Трик8 (Кибертех)</v>
      </c>
      <c r="U786" s="8">
        <v>19.0</v>
      </c>
      <c r="V786" s="8">
        <v>8.0</v>
      </c>
      <c r="W786" s="21" t="str">
        <f t="shared" si="84"/>
        <v>Данные не заполены</v>
      </c>
      <c r="X786" s="15" t="str">
        <f t="shared" si="85"/>
        <v>Данные не заполены</v>
      </c>
      <c r="Y786" s="15">
        <f t="shared" si="86"/>
        <v>0.4210526316</v>
      </c>
      <c r="Z786" s="8" t="s">
        <v>214</v>
      </c>
    </row>
    <row r="787">
      <c r="A787" s="7">
        <v>44113.81918533565</v>
      </c>
      <c r="B787" s="8" t="s">
        <v>26</v>
      </c>
      <c r="C787" s="8">
        <v>21522.0</v>
      </c>
      <c r="D787" s="8" t="s">
        <v>69</v>
      </c>
      <c r="F787" s="8" t="s">
        <v>72</v>
      </c>
      <c r="G787" s="8">
        <v>3750.0</v>
      </c>
      <c r="H787" s="8" t="s">
        <v>45</v>
      </c>
      <c r="K787" s="8" t="s">
        <v>46</v>
      </c>
      <c r="L787" s="8" t="s">
        <v>37</v>
      </c>
      <c r="P787" s="9">
        <v>44113.0</v>
      </c>
      <c r="Q787" s="10">
        <v>0.33333333333575865</v>
      </c>
      <c r="R787" s="11" t="str">
        <f t="shared" si="1"/>
        <v>Пайка компонентов PRI</v>
      </c>
      <c r="S787" s="16" t="str">
        <f>iferror(VLOOKUP(C787,'ФИО'!A:B,2,0),"учётный код не найден")</f>
        <v>Исаев Никита Дмитриевич</v>
      </c>
      <c r="T787" s="13" t="str">
        <f t="shared" si="2"/>
        <v>ПУ 910-00349.A "Печатный узел основного блока E96 4LIN"</v>
      </c>
      <c r="U787" s="8">
        <v>0.0</v>
      </c>
      <c r="V787" s="8">
        <v>0.0</v>
      </c>
      <c r="W787" s="21" t="str">
        <f t="shared" si="84"/>
        <v>Данные не заполены</v>
      </c>
      <c r="X787" s="15" t="str">
        <f t="shared" si="85"/>
        <v>Данные не заполены</v>
      </c>
      <c r="Y787" s="15">
        <f t="shared" si="86"/>
        <v>0</v>
      </c>
    </row>
    <row r="788" hidden="1">
      <c r="A788" s="7">
        <v>44129.35800555555</v>
      </c>
      <c r="B788" s="8" t="s">
        <v>26</v>
      </c>
      <c r="C788" s="8">
        <v>22087.0</v>
      </c>
      <c r="D788" s="8" t="s">
        <v>69</v>
      </c>
      <c r="F788" s="8" t="s">
        <v>207</v>
      </c>
      <c r="G788" s="8">
        <v>3667.0</v>
      </c>
      <c r="H788" s="8" t="s">
        <v>45</v>
      </c>
      <c r="K788" s="8" t="s">
        <v>155</v>
      </c>
      <c r="L788" s="8" t="s">
        <v>31</v>
      </c>
      <c r="M788" s="8" t="s">
        <v>34</v>
      </c>
      <c r="P788" s="9">
        <v>44128.0</v>
      </c>
      <c r="Q788" s="10">
        <v>0.006944444445252884</v>
      </c>
      <c r="R788" s="11" t="str">
        <f t="shared" si="1"/>
        <v>Проверка первой платы после пайки</v>
      </c>
      <c r="S788" s="12" t="str">
        <f>iferror(VLOOKUP(C788,'ФИО'!A:B,2,0),"учётный код не найден")</f>
        <v>Хохряков Илья Александрович</v>
      </c>
      <c r="T788" s="13" t="str">
        <f t="shared" si="2"/>
        <v>ПУ N11 910-00188.B</v>
      </c>
      <c r="U788" s="8">
        <v>0.0</v>
      </c>
      <c r="V788" s="8">
        <v>0.0</v>
      </c>
      <c r="X788" s="14" t="str">
        <f t="shared" si="85"/>
        <v>Данные не заполены</v>
      </c>
      <c r="Y788" s="15">
        <f t="shared" si="86"/>
        <v>0</v>
      </c>
    </row>
    <row r="789" hidden="1">
      <c r="A789" s="7">
        <v>44110.31174748843</v>
      </c>
      <c r="B789" s="8" t="s">
        <v>94</v>
      </c>
      <c r="C789" s="8">
        <v>22131.0</v>
      </c>
      <c r="D789" s="8" t="s">
        <v>27</v>
      </c>
      <c r="E789" s="8" t="s">
        <v>65</v>
      </c>
      <c r="G789" s="8">
        <v>3234.0</v>
      </c>
      <c r="H789" s="8" t="s">
        <v>29</v>
      </c>
      <c r="I789" s="8" t="s">
        <v>135</v>
      </c>
      <c r="L789" s="8" t="s">
        <v>31</v>
      </c>
      <c r="M789" s="8" t="s">
        <v>34</v>
      </c>
      <c r="N789" s="8"/>
      <c r="O789" s="8"/>
      <c r="P789" s="9">
        <v>44109.0</v>
      </c>
      <c r="Q789" s="10">
        <v>0.041666666666666664</v>
      </c>
      <c r="R789" s="11" t="str">
        <f t="shared" si="1"/>
        <v>Проверка комплектации</v>
      </c>
      <c r="S789" s="16" t="str">
        <f>iferror(VLOOKUP(C789,'ФИО'!A:B,2,0),"учётный код не найден")</f>
        <v>Стосик Степан Владимирович</v>
      </c>
      <c r="T789" s="13" t="str">
        <f t="shared" si="2"/>
        <v>915-00101.A - ПКД-9В АСЛБ.467249.107 (Квант)</v>
      </c>
      <c r="U789" s="8">
        <v>0.0</v>
      </c>
      <c r="V789" s="8">
        <v>0.0</v>
      </c>
      <c r="W789" s="21" t="str">
        <f t="shared" ref="W789:W805" si="87">IFERROR((((38412/(ifs(O789&lt;35,35,O789&gt;34,O789)/N789)*0.7))),"Данные не заполены")</f>
        <v>Данные не заполены</v>
      </c>
      <c r="X789" s="15" t="str">
        <f t="shared" si="85"/>
        <v>Данные не заполены</v>
      </c>
      <c r="Y789" s="15">
        <f t="shared" si="86"/>
        <v>0</v>
      </c>
    </row>
    <row r="790" hidden="1">
      <c r="A790" s="7">
        <v>44111.33343578703</v>
      </c>
      <c r="B790" s="8" t="s">
        <v>94</v>
      </c>
      <c r="C790" s="8">
        <v>21426.0</v>
      </c>
      <c r="D790" s="8" t="s">
        <v>27</v>
      </c>
      <c r="E790" s="8" t="s">
        <v>65</v>
      </c>
      <c r="G790" s="8">
        <v>3580.0</v>
      </c>
      <c r="H790" s="8" t="s">
        <v>29</v>
      </c>
      <c r="I790" s="8" t="s">
        <v>145</v>
      </c>
      <c r="L790" s="8" t="s">
        <v>31</v>
      </c>
      <c r="M790" s="8" t="s">
        <v>34</v>
      </c>
      <c r="N790" s="8"/>
      <c r="O790" s="8"/>
      <c r="P790" s="9">
        <v>44110.0</v>
      </c>
      <c r="Q790" s="10">
        <v>0.05902777778101154</v>
      </c>
      <c r="R790" s="11" t="str">
        <f t="shared" si="1"/>
        <v>Проверка комплектации</v>
      </c>
      <c r="S790" s="16" t="str">
        <f>iferror(VLOOKUP(C790,'ФИО'!A:B,2,0),"учётный код не найден")</f>
        <v>Скибинский Антон Германович</v>
      </c>
      <c r="T790" s="13" t="str">
        <f t="shared" si="2"/>
        <v>XR (OÜ KLARBERG)</v>
      </c>
      <c r="U790" s="8">
        <v>0.0</v>
      </c>
      <c r="V790" s="8">
        <v>0.0</v>
      </c>
      <c r="W790" s="21" t="str">
        <f t="shared" si="87"/>
        <v>Данные не заполены</v>
      </c>
      <c r="X790" s="15" t="str">
        <f t="shared" si="85"/>
        <v>Данные не заполены</v>
      </c>
      <c r="Y790" s="15">
        <f t="shared" si="86"/>
        <v>0</v>
      </c>
    </row>
    <row r="791" hidden="1">
      <c r="A791" s="7">
        <v>44118.31313861111</v>
      </c>
      <c r="B791" s="8" t="s">
        <v>94</v>
      </c>
      <c r="C791" s="8">
        <v>22131.0</v>
      </c>
      <c r="D791" s="8" t="s">
        <v>27</v>
      </c>
      <c r="E791" s="8" t="s">
        <v>65</v>
      </c>
      <c r="G791" s="8">
        <v>3622.0</v>
      </c>
      <c r="H791" s="8" t="s">
        <v>29</v>
      </c>
      <c r="I791" s="8" t="s">
        <v>90</v>
      </c>
      <c r="L791" s="8" t="s">
        <v>31</v>
      </c>
      <c r="M791" s="8" t="s">
        <v>34</v>
      </c>
      <c r="P791" s="9">
        <v>44117.0</v>
      </c>
      <c r="Q791" s="10">
        <v>0.04166666666424135</v>
      </c>
      <c r="R791" s="11" t="str">
        <f t="shared" si="1"/>
        <v>Проверка комплектации</v>
      </c>
      <c r="S791" s="16" t="str">
        <f>iferror(VLOOKUP(C791,'ФИО'!A:B,2,0),"учётный код не найден")</f>
        <v>Стосик Степан Владимирович</v>
      </c>
      <c r="T791" s="13" t="str">
        <f t="shared" si="2"/>
        <v>915-00124.A - Tioga Pass_v1.1 (Гагар.ин)</v>
      </c>
      <c r="U791" s="8">
        <v>0.0</v>
      </c>
      <c r="V791" s="8">
        <v>0.0</v>
      </c>
      <c r="W791" s="17" t="str">
        <f t="shared" si="87"/>
        <v>Данные не заполены</v>
      </c>
      <c r="X791" s="14" t="str">
        <f t="shared" si="85"/>
        <v>Данные не заполены</v>
      </c>
      <c r="Y791" s="15">
        <f t="shared" si="86"/>
        <v>0</v>
      </c>
    </row>
    <row r="792" hidden="1">
      <c r="A792" s="7">
        <v>44118.32241894676</v>
      </c>
      <c r="B792" s="8" t="s">
        <v>94</v>
      </c>
      <c r="C792" s="8">
        <v>21426.0</v>
      </c>
      <c r="D792" s="8" t="s">
        <v>27</v>
      </c>
      <c r="E792" s="8" t="s">
        <v>65</v>
      </c>
      <c r="G792" s="8">
        <v>3622.0</v>
      </c>
      <c r="H792" s="8" t="s">
        <v>29</v>
      </c>
      <c r="I792" s="8" t="s">
        <v>90</v>
      </c>
      <c r="L792" s="8" t="s">
        <v>31</v>
      </c>
      <c r="M792" s="8" t="s">
        <v>34</v>
      </c>
      <c r="P792" s="9">
        <v>44117.0</v>
      </c>
      <c r="Q792" s="10">
        <v>0.125</v>
      </c>
      <c r="R792" s="11" t="str">
        <f t="shared" si="1"/>
        <v>Проверка комплектации</v>
      </c>
      <c r="S792" s="16" t="str">
        <f>iferror(VLOOKUP(C792,'ФИО'!A:B,2,0),"учётный код не найден")</f>
        <v>Скибинский Антон Германович</v>
      </c>
      <c r="T792" s="13" t="str">
        <f t="shared" si="2"/>
        <v>915-00124.A - Tioga Pass_v1.1 (Гагар.ин)</v>
      </c>
      <c r="U792" s="8">
        <v>0.0</v>
      </c>
      <c r="V792" s="8">
        <v>0.0</v>
      </c>
      <c r="W792" s="17" t="str">
        <f t="shared" si="87"/>
        <v>Данные не заполены</v>
      </c>
      <c r="X792" s="14" t="str">
        <f t="shared" si="85"/>
        <v>Данные не заполены</v>
      </c>
      <c r="Y792" s="15">
        <f t="shared" si="86"/>
        <v>0</v>
      </c>
    </row>
    <row r="793" hidden="1">
      <c r="A793" s="7">
        <v>44130.22904553241</v>
      </c>
      <c r="B793" s="8" t="s">
        <v>76</v>
      </c>
      <c r="C793" s="8">
        <v>22011.0</v>
      </c>
      <c r="D793" s="8" t="s">
        <v>27</v>
      </c>
      <c r="E793" s="8" t="s">
        <v>65</v>
      </c>
      <c r="G793" s="8">
        <v>3802.0</v>
      </c>
      <c r="H793" s="8" t="s">
        <v>45</v>
      </c>
      <c r="K793" s="8" t="s">
        <v>120</v>
      </c>
      <c r="L793" s="8" t="s">
        <v>31</v>
      </c>
      <c r="M793" s="8" t="s">
        <v>34</v>
      </c>
      <c r="P793" s="9">
        <v>44129.0</v>
      </c>
      <c r="Q793" s="10">
        <v>0.125</v>
      </c>
      <c r="R793" s="11" t="str">
        <f t="shared" si="1"/>
        <v>Проверка комплектации</v>
      </c>
      <c r="S793" s="12" t="str">
        <f>iferror(VLOOKUP(C793,'ФИО'!A:B,2,0),"учётный код не найден")</f>
        <v>Сергеев Алексей Андреевич</v>
      </c>
      <c r="T793" s="13" t="str">
        <f t="shared" si="2"/>
        <v>М15ECO (900-00030.С) 910-00034.C/910-00041.C</v>
      </c>
      <c r="U793" s="8">
        <v>0.0</v>
      </c>
      <c r="V793" s="8">
        <v>0.0</v>
      </c>
      <c r="W793" s="17" t="str">
        <f t="shared" si="87"/>
        <v>Данные не заполены</v>
      </c>
      <c r="X793" s="14" t="str">
        <f t="shared" si="85"/>
        <v>Данные не заполены</v>
      </c>
      <c r="Y793" s="15">
        <f t="shared" si="86"/>
        <v>0</v>
      </c>
    </row>
    <row r="794" hidden="1">
      <c r="A794" s="7">
        <v>44131.32127875</v>
      </c>
      <c r="B794" s="8" t="s">
        <v>76</v>
      </c>
      <c r="C794" s="8">
        <v>20693.0</v>
      </c>
      <c r="D794" s="8" t="s">
        <v>27</v>
      </c>
      <c r="E794" s="8" t="s">
        <v>65</v>
      </c>
      <c r="G794" s="8">
        <v>3621.0</v>
      </c>
      <c r="H794" s="8" t="s">
        <v>29</v>
      </c>
      <c r="I794" s="8" t="s">
        <v>54</v>
      </c>
      <c r="L794" s="8" t="s">
        <v>37</v>
      </c>
      <c r="P794" s="9">
        <v>44130.0</v>
      </c>
      <c r="Q794" s="10">
        <v>0.45833333333575865</v>
      </c>
      <c r="R794" s="11" t="str">
        <f t="shared" si="1"/>
        <v>Проверка комплектации</v>
      </c>
      <c r="S794" s="12" t="str">
        <f>iferror(VLOOKUP(C794,'ФИО'!A:B,2,0),"учётный код не найден")</f>
        <v>Аникина Раиса Владимировна</v>
      </c>
      <c r="T794" s="13" t="str">
        <f t="shared" si="2"/>
        <v>915-00121.A - Процессорный модуль РСЕН.469555.027 (КНС Групп)</v>
      </c>
      <c r="U794" s="8">
        <v>0.0</v>
      </c>
      <c r="V794" s="8">
        <v>0.0</v>
      </c>
      <c r="W794" s="17" t="str">
        <f t="shared" si="87"/>
        <v>Данные не заполены</v>
      </c>
      <c r="X794" s="14" t="str">
        <f t="shared" si="85"/>
        <v>Данные не заполены</v>
      </c>
      <c r="Y794" s="15">
        <f t="shared" si="86"/>
        <v>0</v>
      </c>
    </row>
    <row r="795" hidden="1">
      <c r="A795" s="7">
        <v>44106.81659418982</v>
      </c>
      <c r="B795" s="8" t="s">
        <v>87</v>
      </c>
      <c r="C795" s="8">
        <v>22131.0</v>
      </c>
      <c r="D795" s="8" t="s">
        <v>69</v>
      </c>
      <c r="F795" s="8" t="s">
        <v>103</v>
      </c>
      <c r="G795" s="8">
        <v>3047.0</v>
      </c>
      <c r="H795" s="8" t="s">
        <v>29</v>
      </c>
      <c r="I795" s="8" t="s">
        <v>77</v>
      </c>
      <c r="L795" s="8" t="s">
        <v>37</v>
      </c>
      <c r="P795" s="9">
        <v>44106.0</v>
      </c>
      <c r="Q795" s="10">
        <v>0.375</v>
      </c>
      <c r="R795" s="13" t="str">
        <f t="shared" si="1"/>
        <v>Проверка на АОИ PRI</v>
      </c>
      <c r="S795" s="16" t="str">
        <f>iferror(VLOOKUP(C795,'ФИО'!A:B,2,0),"учётный код не найден")</f>
        <v>Стосик Степан Владимирович</v>
      </c>
      <c r="T795" s="13" t="str">
        <f t="shared" si="2"/>
        <v>915-00081.A-Модуль Трик8 (Кибертех)</v>
      </c>
      <c r="U795" s="8">
        <v>124.0</v>
      </c>
      <c r="V795" s="8">
        <v>16.0</v>
      </c>
      <c r="W795" s="21" t="str">
        <f t="shared" si="87"/>
        <v>Данные не заполены</v>
      </c>
      <c r="X795" s="15" t="str">
        <f t="shared" si="85"/>
        <v>Данные не заполены</v>
      </c>
      <c r="Y795" s="15">
        <f t="shared" si="86"/>
        <v>0.1290322581</v>
      </c>
    </row>
    <row r="796" hidden="1">
      <c r="A796" s="7">
        <v>44106.82290021991</v>
      </c>
      <c r="B796" s="8" t="s">
        <v>87</v>
      </c>
      <c r="C796" s="8">
        <v>20985.0</v>
      </c>
      <c r="D796" s="8" t="s">
        <v>69</v>
      </c>
      <c r="F796" s="8" t="s">
        <v>103</v>
      </c>
      <c r="G796" s="8">
        <v>3047.0</v>
      </c>
      <c r="H796" s="8" t="s">
        <v>29</v>
      </c>
      <c r="I796" s="8" t="s">
        <v>77</v>
      </c>
      <c r="L796" s="8" t="s">
        <v>37</v>
      </c>
      <c r="P796" s="9">
        <v>44106.0</v>
      </c>
      <c r="Q796" s="10">
        <v>0.08333333333575865</v>
      </c>
      <c r="R796" s="13" t="str">
        <f t="shared" si="1"/>
        <v>Проверка на АОИ PRI</v>
      </c>
      <c r="S796" s="16" t="str">
        <f>iferror(VLOOKUP(C796,'ФИО'!A:B,2,0),"учётный код не найден")</f>
        <v>Никонорова Наталия Владимировна</v>
      </c>
      <c r="T796" s="13" t="str">
        <f t="shared" si="2"/>
        <v>915-00081.A-Модуль Трик8 (Кибертех)</v>
      </c>
      <c r="U796" s="8">
        <v>0.0</v>
      </c>
      <c r="V796" s="8">
        <v>0.0</v>
      </c>
      <c r="W796" s="21" t="str">
        <f t="shared" si="87"/>
        <v>Данные не заполены</v>
      </c>
      <c r="X796" s="15" t="str">
        <f t="shared" si="85"/>
        <v>Данные не заполены</v>
      </c>
      <c r="Y796" s="15">
        <f t="shared" si="86"/>
        <v>0</v>
      </c>
    </row>
    <row r="797" hidden="1">
      <c r="A797" s="7">
        <v>44110.150657418984</v>
      </c>
      <c r="B797" s="8" t="s">
        <v>94</v>
      </c>
      <c r="C797" s="8">
        <v>20985.0</v>
      </c>
      <c r="D797" s="8" t="s">
        <v>69</v>
      </c>
      <c r="F797" s="8" t="s">
        <v>103</v>
      </c>
      <c r="G797" s="8">
        <v>3233.0</v>
      </c>
      <c r="H797" s="8" t="s">
        <v>29</v>
      </c>
      <c r="I797" s="8" t="s">
        <v>60</v>
      </c>
      <c r="L797" s="8" t="s">
        <v>37</v>
      </c>
      <c r="P797" s="9">
        <v>44109.0</v>
      </c>
      <c r="Q797" s="10">
        <v>0.010416666664241347</v>
      </c>
      <c r="R797" s="11" t="str">
        <f t="shared" si="1"/>
        <v>Проверка на АОИ PRI</v>
      </c>
      <c r="S797" s="16" t="str">
        <f>iferror(VLOOKUP(C797,'ФИО'!A:B,2,0),"учётный код не найден")</f>
        <v>Никонорова Наталия Владимировна</v>
      </c>
      <c r="T797" s="13" t="str">
        <f t="shared" si="2"/>
        <v>915-00102.A - ПБОК-2В АСЛБ.465285.013 (Квант)</v>
      </c>
      <c r="U797" s="8">
        <v>8.0</v>
      </c>
      <c r="V797" s="8">
        <v>0.0</v>
      </c>
      <c r="W797" s="21" t="str">
        <f t="shared" si="87"/>
        <v>Данные не заполены</v>
      </c>
      <c r="X797" s="15" t="str">
        <f t="shared" si="85"/>
        <v>Данные не заполены</v>
      </c>
      <c r="Y797" s="15">
        <f t="shared" si="86"/>
        <v>0</v>
      </c>
    </row>
    <row r="798" hidden="1">
      <c r="A798" s="7">
        <v>44110.31892706019</v>
      </c>
      <c r="B798" s="8" t="s">
        <v>94</v>
      </c>
      <c r="C798" s="8">
        <v>20985.0</v>
      </c>
      <c r="D798" s="8" t="s">
        <v>69</v>
      </c>
      <c r="F798" s="8" t="s">
        <v>103</v>
      </c>
      <c r="G798" s="8">
        <v>3047.0</v>
      </c>
      <c r="H798" s="8" t="s">
        <v>29</v>
      </c>
      <c r="I798" s="8" t="s">
        <v>77</v>
      </c>
      <c r="L798" s="8" t="s">
        <v>37</v>
      </c>
      <c r="P798" s="9">
        <v>44109.0</v>
      </c>
      <c r="Q798" s="10">
        <v>0.10416666666424135</v>
      </c>
      <c r="R798" s="11" t="str">
        <f t="shared" si="1"/>
        <v>Проверка на АОИ PRI</v>
      </c>
      <c r="S798" s="16" t="str">
        <f>iferror(VLOOKUP(C798,'ФИО'!A:B,2,0),"учётный код не найден")</f>
        <v>Никонорова Наталия Владимировна</v>
      </c>
      <c r="T798" s="13" t="str">
        <f t="shared" si="2"/>
        <v>915-00081.A-Модуль Трик8 (Кибертех)</v>
      </c>
      <c r="U798" s="8">
        <v>56.0</v>
      </c>
      <c r="V798" s="8">
        <v>0.0</v>
      </c>
      <c r="W798" s="21" t="str">
        <f t="shared" si="87"/>
        <v>Данные не заполены</v>
      </c>
      <c r="X798" s="15" t="str">
        <f t="shared" si="85"/>
        <v>Данные не заполены</v>
      </c>
      <c r="Y798" s="15">
        <f t="shared" si="86"/>
        <v>0</v>
      </c>
    </row>
    <row r="799" hidden="1">
      <c r="A799" s="7">
        <v>44111.29218363426</v>
      </c>
      <c r="B799" s="8" t="s">
        <v>94</v>
      </c>
      <c r="C799" s="8">
        <v>20985.0</v>
      </c>
      <c r="D799" s="8" t="s">
        <v>69</v>
      </c>
      <c r="F799" s="8" t="s">
        <v>103</v>
      </c>
      <c r="G799" s="8">
        <v>3047.0</v>
      </c>
      <c r="H799" s="8" t="s">
        <v>29</v>
      </c>
      <c r="I799" s="8" t="s">
        <v>77</v>
      </c>
      <c r="L799" s="8" t="s">
        <v>37</v>
      </c>
      <c r="P799" s="9">
        <v>44110.0</v>
      </c>
      <c r="Q799" s="10">
        <v>0.14583333333575865</v>
      </c>
      <c r="R799" s="11" t="str">
        <f t="shared" si="1"/>
        <v>Проверка на АОИ PRI</v>
      </c>
      <c r="S799" s="16" t="str">
        <f>iferror(VLOOKUP(C799,'ФИО'!A:B,2,0),"учётный код не найден")</f>
        <v>Никонорова Наталия Владимировна</v>
      </c>
      <c r="T799" s="13" t="str">
        <f t="shared" si="2"/>
        <v>915-00081.A-Модуль Трик8 (Кибертех)</v>
      </c>
      <c r="U799" s="8">
        <v>66.0</v>
      </c>
      <c r="V799" s="8">
        <v>10.0</v>
      </c>
      <c r="W799" s="21" t="str">
        <f t="shared" si="87"/>
        <v>Данные не заполены</v>
      </c>
      <c r="X799" s="15" t="str">
        <f t="shared" si="85"/>
        <v>Данные не заполены</v>
      </c>
      <c r="Y799" s="15">
        <f t="shared" si="86"/>
        <v>0.1515151515</v>
      </c>
    </row>
    <row r="800" hidden="1">
      <c r="A800" s="7">
        <v>44111.71771869213</v>
      </c>
      <c r="B800" s="8" t="s">
        <v>89</v>
      </c>
      <c r="C800" s="8">
        <v>22011.0</v>
      </c>
      <c r="D800" s="8" t="s">
        <v>69</v>
      </c>
      <c r="F800" s="8" t="s">
        <v>103</v>
      </c>
      <c r="G800" s="8">
        <v>3233.0</v>
      </c>
      <c r="H800" s="8" t="s">
        <v>29</v>
      </c>
      <c r="I800" s="8" t="s">
        <v>60</v>
      </c>
      <c r="L800" s="8" t="s">
        <v>37</v>
      </c>
      <c r="P800" s="9">
        <v>44111.0</v>
      </c>
      <c r="Q800" s="10">
        <v>0.04166666666424135</v>
      </c>
      <c r="R800" s="11" t="str">
        <f t="shared" si="1"/>
        <v>Проверка на АОИ PRI</v>
      </c>
      <c r="S800" s="16" t="str">
        <f>iferror(VLOOKUP(C800,'ФИО'!A:B,2,0),"учётный код не найден")</f>
        <v>Сергеев Алексей Андреевич</v>
      </c>
      <c r="T800" s="13" t="str">
        <f t="shared" si="2"/>
        <v>915-00102.A - ПБОК-2В АСЛБ.465285.013 (Квант)</v>
      </c>
      <c r="U800" s="8">
        <v>34.0</v>
      </c>
      <c r="V800" s="8">
        <v>0.0</v>
      </c>
      <c r="W800" s="21" t="str">
        <f t="shared" si="87"/>
        <v>Данные не заполены</v>
      </c>
      <c r="X800" s="15" t="str">
        <f t="shared" si="85"/>
        <v>Данные не заполены</v>
      </c>
      <c r="Y800" s="15">
        <f t="shared" si="86"/>
        <v>0</v>
      </c>
    </row>
    <row r="801" hidden="1">
      <c r="A801" s="7">
        <v>44114.832028564815</v>
      </c>
      <c r="B801" s="8" t="s">
        <v>87</v>
      </c>
      <c r="C801" s="8">
        <v>21426.0</v>
      </c>
      <c r="D801" s="8" t="s">
        <v>69</v>
      </c>
      <c r="F801" s="8" t="s">
        <v>103</v>
      </c>
      <c r="G801" s="8">
        <v>3750.0</v>
      </c>
      <c r="H801" s="8" t="s">
        <v>45</v>
      </c>
      <c r="K801" s="8" t="s">
        <v>46</v>
      </c>
      <c r="L801" s="8" t="s">
        <v>37</v>
      </c>
      <c r="P801" s="9">
        <v>44114.0</v>
      </c>
      <c r="Q801" s="10">
        <v>0.39583333333575865</v>
      </c>
      <c r="R801" s="11" t="str">
        <f t="shared" si="1"/>
        <v>Проверка на АОИ PRI</v>
      </c>
      <c r="S801" s="16" t="str">
        <f>iferror(VLOOKUP(C801,'ФИО'!A:B,2,0),"учётный код не найден")</f>
        <v>Скибинский Антон Германович</v>
      </c>
      <c r="T801" s="13" t="str">
        <f t="shared" si="2"/>
        <v>ПУ 910-00349.A "Печатный узел основного блока E96 4LIN"</v>
      </c>
      <c r="U801" s="8">
        <v>520.0</v>
      </c>
      <c r="V801" s="8">
        <v>0.0</v>
      </c>
      <c r="W801" s="21" t="str">
        <f t="shared" si="87"/>
        <v>Данные не заполены</v>
      </c>
      <c r="X801" s="15" t="str">
        <f t="shared" si="85"/>
        <v>Данные не заполены</v>
      </c>
      <c r="Y801" s="15">
        <f t="shared" si="86"/>
        <v>0</v>
      </c>
    </row>
    <row r="802" hidden="1">
      <c r="A802" s="7">
        <v>44115.321296643524</v>
      </c>
      <c r="B802" s="8" t="s">
        <v>76</v>
      </c>
      <c r="C802" s="8">
        <v>21852.0</v>
      </c>
      <c r="D802" s="8" t="s">
        <v>69</v>
      </c>
      <c r="F802" s="8" t="s">
        <v>103</v>
      </c>
      <c r="G802" s="8">
        <v>3750.0</v>
      </c>
      <c r="H802" s="8" t="s">
        <v>45</v>
      </c>
      <c r="K802" s="8" t="s">
        <v>46</v>
      </c>
      <c r="L802" s="8" t="s">
        <v>37</v>
      </c>
      <c r="P802" s="9">
        <v>44114.0</v>
      </c>
      <c r="Q802" s="10">
        <v>0.375</v>
      </c>
      <c r="R802" s="11" t="str">
        <f t="shared" si="1"/>
        <v>Проверка на АОИ PRI</v>
      </c>
      <c r="S802" s="16" t="str">
        <f>iferror(VLOOKUP(C802,'ФИО'!A:B,2,0),"учётный код не найден")</f>
        <v>Пономарев Юрий Андреевич</v>
      </c>
      <c r="T802" s="13" t="str">
        <f t="shared" si="2"/>
        <v>ПУ 910-00349.A "Печатный узел основного блока E96 4LIN"</v>
      </c>
      <c r="U802" s="8">
        <v>216.0</v>
      </c>
      <c r="V802" s="8">
        <v>4.0</v>
      </c>
      <c r="W802" s="21" t="str">
        <f t="shared" si="87"/>
        <v>Данные не заполены</v>
      </c>
      <c r="X802" s="15" t="str">
        <f t="shared" si="85"/>
        <v>Данные не заполены</v>
      </c>
      <c r="Y802" s="15">
        <f t="shared" si="86"/>
        <v>0.01851851852</v>
      </c>
    </row>
    <row r="803" hidden="1">
      <c r="A803" s="7">
        <v>44118.31558780093</v>
      </c>
      <c r="B803" s="8" t="s">
        <v>94</v>
      </c>
      <c r="C803" s="8">
        <v>21928.0</v>
      </c>
      <c r="D803" s="8" t="s">
        <v>69</v>
      </c>
      <c r="F803" s="8" t="s">
        <v>103</v>
      </c>
      <c r="G803" s="8">
        <v>3232.0</v>
      </c>
      <c r="H803" s="8" t="s">
        <v>29</v>
      </c>
      <c r="I803" s="8" t="s">
        <v>63</v>
      </c>
      <c r="L803" s="8" t="s">
        <v>37</v>
      </c>
      <c r="P803" s="9">
        <v>44117.0</v>
      </c>
      <c r="Q803" s="10">
        <v>0.04166666666424135</v>
      </c>
      <c r="R803" s="11" t="str">
        <f t="shared" si="1"/>
        <v>Проверка на АОИ PRI</v>
      </c>
      <c r="S803" s="16" t="str">
        <f>iferror(VLOOKUP(C803,'ФИО'!A:B,2,0),"учётный код не найден")</f>
        <v>Савченко Виктория Андреевна</v>
      </c>
      <c r="T803" s="13" t="str">
        <f t="shared" si="2"/>
        <v>915-00103.A - ПБОК-1В АСЛБ.465285.012 (Квант)</v>
      </c>
      <c r="U803" s="8">
        <v>8.0</v>
      </c>
      <c r="V803" s="8">
        <v>0.0</v>
      </c>
      <c r="W803" s="17" t="str">
        <f t="shared" si="87"/>
        <v>Данные не заполены</v>
      </c>
      <c r="X803" s="14" t="str">
        <f t="shared" si="85"/>
        <v>Данные не заполены</v>
      </c>
      <c r="Y803" s="15">
        <f t="shared" si="86"/>
        <v>0</v>
      </c>
    </row>
    <row r="804" hidden="1">
      <c r="A804" s="7">
        <v>44118.31836856481</v>
      </c>
      <c r="B804" s="8" t="s">
        <v>94</v>
      </c>
      <c r="C804" s="8">
        <v>21928.0</v>
      </c>
      <c r="D804" s="8" t="s">
        <v>69</v>
      </c>
      <c r="F804" s="8" t="s">
        <v>103</v>
      </c>
      <c r="G804" s="8">
        <v>3580.0</v>
      </c>
      <c r="H804" s="8" t="s">
        <v>29</v>
      </c>
      <c r="I804" s="8" t="s">
        <v>146</v>
      </c>
      <c r="L804" s="8" t="s">
        <v>37</v>
      </c>
      <c r="P804" s="9">
        <v>44117.0</v>
      </c>
      <c r="Q804" s="10">
        <v>0.125</v>
      </c>
      <c r="R804" s="11" t="str">
        <f t="shared" si="1"/>
        <v>Проверка на АОИ PRI</v>
      </c>
      <c r="S804" s="16" t="str">
        <f>iferror(VLOOKUP(C804,'ФИО'!A:B,2,0),"учётный код не найден")</f>
        <v>Савченко Виктория Андреевна</v>
      </c>
      <c r="T804" s="13" t="str">
        <f t="shared" si="2"/>
        <v>XR (Термотроник)</v>
      </c>
      <c r="U804" s="8">
        <v>850.0</v>
      </c>
      <c r="V804" s="8">
        <v>10.0</v>
      </c>
      <c r="W804" s="17" t="str">
        <f t="shared" si="87"/>
        <v>Данные не заполены</v>
      </c>
      <c r="X804" s="14" t="str">
        <f t="shared" si="85"/>
        <v>Данные не заполены</v>
      </c>
      <c r="Y804" s="15">
        <f t="shared" si="86"/>
        <v>0.01176470588</v>
      </c>
    </row>
    <row r="805" hidden="1">
      <c r="A805" s="7">
        <v>44118.31992256944</v>
      </c>
      <c r="B805" s="8" t="s">
        <v>94</v>
      </c>
      <c r="C805" s="8">
        <v>21928.0</v>
      </c>
      <c r="D805" s="8" t="s">
        <v>69</v>
      </c>
      <c r="F805" s="8" t="s">
        <v>103</v>
      </c>
      <c r="G805" s="8">
        <v>3234.0</v>
      </c>
      <c r="H805" s="8" t="s">
        <v>29</v>
      </c>
      <c r="I805" s="8" t="s">
        <v>135</v>
      </c>
      <c r="L805" s="8" t="s">
        <v>37</v>
      </c>
      <c r="P805" s="9">
        <v>44117.0</v>
      </c>
      <c r="Q805" s="10">
        <v>0.055555555554747116</v>
      </c>
      <c r="R805" s="11" t="str">
        <f t="shared" si="1"/>
        <v>Проверка на АОИ PRI</v>
      </c>
      <c r="S805" s="16" t="str">
        <f>iferror(VLOOKUP(C805,'ФИО'!A:B,2,0),"учётный код не найден")</f>
        <v>Савченко Виктория Андреевна</v>
      </c>
      <c r="T805" s="13" t="str">
        <f t="shared" si="2"/>
        <v>915-00101.A - ПКД-9В АСЛБ.467249.107 (Квант)</v>
      </c>
      <c r="U805" s="8">
        <v>5.0</v>
      </c>
      <c r="V805" s="8">
        <v>2.0</v>
      </c>
      <c r="W805" s="17" t="str">
        <f t="shared" si="87"/>
        <v>Данные не заполены</v>
      </c>
      <c r="X805" s="14" t="str">
        <f t="shared" si="85"/>
        <v>Данные не заполены</v>
      </c>
      <c r="Y805" s="15">
        <f t="shared" si="86"/>
        <v>0.4</v>
      </c>
    </row>
    <row r="806" hidden="1">
      <c r="A806" s="7">
        <v>44120.312828842594</v>
      </c>
      <c r="B806" s="8" t="s">
        <v>126</v>
      </c>
      <c r="C806" s="8">
        <v>22574.0</v>
      </c>
      <c r="D806" s="8" t="s">
        <v>27</v>
      </c>
      <c r="E806" s="8" t="s">
        <v>85</v>
      </c>
      <c r="G806" s="8">
        <v>3253.0</v>
      </c>
      <c r="H806" s="8" t="s">
        <v>29</v>
      </c>
      <c r="I806" s="8" t="s">
        <v>95</v>
      </c>
      <c r="L806" s="8" t="s">
        <v>31</v>
      </c>
      <c r="M806" s="8" t="s">
        <v>34</v>
      </c>
      <c r="P806" s="9">
        <v>44119.0</v>
      </c>
      <c r="Q806" s="10">
        <v>0.020833333335758653</v>
      </c>
      <c r="R806" s="11" t="str">
        <f t="shared" si="1"/>
        <v>Очистка трафаретного принтера</v>
      </c>
      <c r="S806" s="16" t="str">
        <f>iferror(VLOOKUP(C806,'ФИО'!A:B,2,0),"учётный код не найден")</f>
        <v>Шапенков Геннадий Михайлович</v>
      </c>
      <c r="T806" s="13" t="str">
        <f t="shared" si="2"/>
        <v>915-00095.A - ПКД-8В-1 АСЛБ.467249.108 (Квант)</v>
      </c>
      <c r="U806" s="8">
        <v>0.0</v>
      </c>
      <c r="V806" s="8">
        <v>0.0</v>
      </c>
    </row>
    <row r="807" hidden="1">
      <c r="A807" s="7">
        <v>44120.31492966435</v>
      </c>
      <c r="B807" s="8" t="s">
        <v>126</v>
      </c>
      <c r="C807" s="8">
        <v>22574.0</v>
      </c>
      <c r="D807" s="8" t="s">
        <v>27</v>
      </c>
      <c r="E807" s="8" t="s">
        <v>85</v>
      </c>
      <c r="G807" s="8">
        <v>3252.0</v>
      </c>
      <c r="H807" s="8" t="s">
        <v>29</v>
      </c>
      <c r="I807" s="8" t="s">
        <v>96</v>
      </c>
      <c r="L807" s="8" t="s">
        <v>31</v>
      </c>
      <c r="M807" s="8" t="s">
        <v>34</v>
      </c>
      <c r="P807" s="9">
        <v>44119.0</v>
      </c>
      <c r="Q807" s="10">
        <v>0.020833333335758653</v>
      </c>
      <c r="R807" s="11" t="str">
        <f t="shared" si="1"/>
        <v>Очистка трафаретного принтера</v>
      </c>
      <c r="S807" s="16" t="str">
        <f>iferror(VLOOKUP(C807,'ФИО'!A:B,2,0),"учётный код не найден")</f>
        <v>Шапенков Геннадий Михайлович</v>
      </c>
      <c r="T807" s="13" t="str">
        <f t="shared" si="2"/>
        <v>915-00096.A - ПКД-8В-2 АСЛБ.467249.109</v>
      </c>
      <c r="U807" s="8">
        <v>0.0</v>
      </c>
      <c r="V807" s="8">
        <v>0.0</v>
      </c>
    </row>
    <row r="808" hidden="1">
      <c r="A808" s="7">
        <v>44128.32187474537</v>
      </c>
      <c r="B808" s="8" t="s">
        <v>126</v>
      </c>
      <c r="C808" s="8">
        <v>22574.0</v>
      </c>
      <c r="D808" s="8" t="s">
        <v>27</v>
      </c>
      <c r="E808" s="8" t="s">
        <v>85</v>
      </c>
      <c r="G808" s="8">
        <v>3621.0</v>
      </c>
      <c r="H808" s="8" t="s">
        <v>29</v>
      </c>
      <c r="I808" s="8" t="s">
        <v>30</v>
      </c>
      <c r="L808" s="8" t="s">
        <v>31</v>
      </c>
      <c r="M808" s="8" t="s">
        <v>34</v>
      </c>
      <c r="P808" s="9">
        <v>44127.0</v>
      </c>
      <c r="Q808" s="10">
        <v>0.020833333335758653</v>
      </c>
      <c r="R808" s="11" t="str">
        <f t="shared" si="1"/>
        <v>Очистка трафаретного принтера</v>
      </c>
      <c r="S808" s="16" t="str">
        <f>iferror(VLOOKUP(C808,'ФИО'!A:B,2,0),"учётный код не найден")</f>
        <v>Шапенков Геннадий Михайлович</v>
      </c>
      <c r="T808" s="13" t="str">
        <f t="shared" si="2"/>
        <v>915-00121.A - Процессорный модуль РСЕН.469555.027 (КНС Групп) в ТС</v>
      </c>
      <c r="U808" s="8">
        <v>0.0</v>
      </c>
      <c r="V808" s="8">
        <v>0.0</v>
      </c>
      <c r="W808" s="17" t="str">
        <f t="shared" ref="W808:W819" si="88">IFERROR((((38412/(ifs(O808&lt;35,35,O808&gt;34,O808)/N808)*0.7))),"Данные не заполены")</f>
        <v>Данные не заполены</v>
      </c>
      <c r="X808" s="14" t="str">
        <f t="shared" ref="X808:X873" si="89">IFERROR((((V808+U808)/Q808)/24)/(W808/11),"Данные не заполены")</f>
        <v>Данные не заполены</v>
      </c>
      <c r="Y808" s="15">
        <f t="shared" ref="Y808:Y872" si="90">iferror((V808/if(U808=0,1,U808)),0)</f>
        <v>0</v>
      </c>
    </row>
    <row r="809" hidden="1">
      <c r="A809" s="7">
        <v>44119.80841217593</v>
      </c>
      <c r="B809" s="8" t="s">
        <v>89</v>
      </c>
      <c r="C809" s="8">
        <v>50000.0</v>
      </c>
      <c r="D809" s="8" t="s">
        <v>27</v>
      </c>
      <c r="E809" s="8" t="s">
        <v>88</v>
      </c>
      <c r="G809" s="8">
        <v>3622.0</v>
      </c>
      <c r="H809" s="8" t="s">
        <v>29</v>
      </c>
      <c r="I809" s="8" t="s">
        <v>90</v>
      </c>
      <c r="L809" s="8" t="s">
        <v>37</v>
      </c>
      <c r="N809" s="8">
        <v>1.0</v>
      </c>
      <c r="O809" s="8">
        <v>84.0</v>
      </c>
      <c r="P809" s="9">
        <v>44119.0</v>
      </c>
      <c r="Q809" s="10">
        <v>0.12430555555329192</v>
      </c>
      <c r="R809" s="11" t="str">
        <f t="shared" si="1"/>
        <v>Сборка на линии Sec</v>
      </c>
      <c r="S809" s="16" t="str">
        <f>iferror(VLOOKUP(C809,'ФИО'!A:B,2,0),"учётный код не найден")</f>
        <v>SMT</v>
      </c>
      <c r="T809" s="13" t="str">
        <f t="shared" si="2"/>
        <v>915-00124.A - Tioga Pass_v1.1 (Гагар.ин)</v>
      </c>
      <c r="U809" s="8">
        <v>1.0</v>
      </c>
      <c r="V809" s="8">
        <v>0.0</v>
      </c>
      <c r="W809" s="17">
        <f t="shared" si="88"/>
        <v>320.1</v>
      </c>
      <c r="X809" s="14">
        <f t="shared" si="89"/>
        <v>0.01151874676</v>
      </c>
      <c r="Y809" s="15">
        <f t="shared" si="90"/>
        <v>0</v>
      </c>
    </row>
    <row r="810" hidden="1">
      <c r="A810" s="7">
        <v>44119.82801321759</v>
      </c>
      <c r="B810" s="8" t="s">
        <v>89</v>
      </c>
      <c r="C810" s="8">
        <v>50000.0</v>
      </c>
      <c r="D810" s="8" t="s">
        <v>27</v>
      </c>
      <c r="E810" s="8" t="s">
        <v>67</v>
      </c>
      <c r="G810" s="8">
        <v>3253.0</v>
      </c>
      <c r="H810" s="8" t="s">
        <v>29</v>
      </c>
      <c r="I810" s="8" t="s">
        <v>95</v>
      </c>
      <c r="L810" s="8" t="s">
        <v>37</v>
      </c>
      <c r="N810" s="8">
        <v>1.0</v>
      </c>
      <c r="O810" s="8">
        <v>30.0</v>
      </c>
      <c r="P810" s="9">
        <v>44119.0</v>
      </c>
      <c r="Q810" s="10">
        <v>0.0625</v>
      </c>
      <c r="R810" s="11" t="str">
        <f t="shared" si="1"/>
        <v>Сборка на линии Prim</v>
      </c>
      <c r="S810" s="16" t="str">
        <f>iferror(VLOOKUP(C810,'ФИО'!A:B,2,0),"учётный код не найден")</f>
        <v>SMT</v>
      </c>
      <c r="T810" s="13" t="str">
        <f t="shared" si="2"/>
        <v>915-00095.A - ПКД-8В-1 АСЛБ.467249.108 (Квант)</v>
      </c>
      <c r="U810" s="8">
        <v>2.0</v>
      </c>
      <c r="V810" s="8">
        <v>0.0</v>
      </c>
      <c r="W810" s="17">
        <f t="shared" si="88"/>
        <v>768.24</v>
      </c>
      <c r="X810" s="14">
        <f t="shared" si="89"/>
        <v>0.0190912562</v>
      </c>
      <c r="Y810" s="15">
        <f t="shared" si="90"/>
        <v>0</v>
      </c>
    </row>
    <row r="811">
      <c r="A811" s="7">
        <v>44119.83106435185</v>
      </c>
      <c r="B811" s="8" t="s">
        <v>89</v>
      </c>
      <c r="C811" s="8">
        <v>60000.0</v>
      </c>
      <c r="D811" s="8" t="s">
        <v>69</v>
      </c>
      <c r="F811" s="8" t="s">
        <v>72</v>
      </c>
      <c r="G811" s="8">
        <v>3750.0</v>
      </c>
      <c r="H811" s="8" t="s">
        <v>45</v>
      </c>
      <c r="K811" s="8" t="s">
        <v>46</v>
      </c>
      <c r="L811" s="8" t="s">
        <v>37</v>
      </c>
      <c r="P811" s="9">
        <v>44119.0</v>
      </c>
      <c r="Q811" s="10">
        <v>0.02916666666715173</v>
      </c>
      <c r="R811" s="11" t="str">
        <f t="shared" si="1"/>
        <v>Пайка компонентов PRI</v>
      </c>
      <c r="S811" s="12" t="str">
        <f>iferror(VLOOKUP(C811,'ФИО'!A:B,2,0),"учётный код не найден")</f>
        <v>THT</v>
      </c>
      <c r="T811" s="13" t="str">
        <f t="shared" si="2"/>
        <v>ПУ 910-00349.A "Печатный узел основного блока E96 4LIN"</v>
      </c>
      <c r="U811" s="8">
        <v>100.0</v>
      </c>
      <c r="V811" s="8">
        <v>0.0</v>
      </c>
      <c r="W811" s="17" t="str">
        <f t="shared" si="88"/>
        <v>Данные не заполены</v>
      </c>
      <c r="X811" s="14" t="str">
        <f t="shared" si="89"/>
        <v>Данные не заполены</v>
      </c>
      <c r="Y811" s="15">
        <f t="shared" si="90"/>
        <v>0</v>
      </c>
    </row>
    <row r="812" hidden="1">
      <c r="A812" s="7">
        <v>44119.65184255787</v>
      </c>
      <c r="B812" s="8" t="s">
        <v>89</v>
      </c>
      <c r="C812" s="8">
        <v>60000.0</v>
      </c>
      <c r="D812" s="8" t="s">
        <v>69</v>
      </c>
      <c r="F812" s="8" t="s">
        <v>80</v>
      </c>
      <c r="G812" s="8">
        <v>3234.0</v>
      </c>
      <c r="H812" s="8" t="s">
        <v>29</v>
      </c>
      <c r="I812" s="8" t="s">
        <v>135</v>
      </c>
      <c r="L812" s="8" t="s">
        <v>31</v>
      </c>
      <c r="M812" s="8" t="s">
        <v>215</v>
      </c>
      <c r="P812" s="9">
        <v>44119.0</v>
      </c>
      <c r="Q812" s="10">
        <v>0.010416666664241347</v>
      </c>
      <c r="R812" s="11" t="str">
        <f t="shared" si="1"/>
        <v>Пайка компонентов SEC</v>
      </c>
      <c r="S812" s="12" t="str">
        <f>iferror(VLOOKUP(C812,'ФИО'!A:B,2,0),"учётный код не найден")</f>
        <v>THT</v>
      </c>
      <c r="T812" s="13" t="str">
        <f t="shared" si="2"/>
        <v>915-00101.A - ПКД-9В АСЛБ.467249.107 (Квант)</v>
      </c>
      <c r="U812" s="8">
        <v>10.0</v>
      </c>
      <c r="V812" s="8">
        <v>0.0</v>
      </c>
      <c r="W812" s="17" t="str">
        <f t="shared" si="88"/>
        <v>Данные не заполены</v>
      </c>
      <c r="X812" s="14" t="str">
        <f t="shared" si="89"/>
        <v>Данные не заполены</v>
      </c>
      <c r="Y812" s="15">
        <f t="shared" si="90"/>
        <v>0</v>
      </c>
    </row>
    <row r="813" hidden="1">
      <c r="A813" s="7">
        <v>44119.82977652778</v>
      </c>
      <c r="B813" s="8" t="s">
        <v>89</v>
      </c>
      <c r="C813" s="8">
        <v>60000.0</v>
      </c>
      <c r="D813" s="8" t="s">
        <v>69</v>
      </c>
      <c r="F813" s="8" t="s">
        <v>80</v>
      </c>
      <c r="G813" s="8">
        <v>3234.0</v>
      </c>
      <c r="H813" s="8" t="s">
        <v>29</v>
      </c>
      <c r="I813" s="8" t="s">
        <v>43</v>
      </c>
      <c r="L813" s="8" t="s">
        <v>37</v>
      </c>
      <c r="P813" s="9">
        <v>44119.0</v>
      </c>
      <c r="Q813" s="10">
        <v>0.0062499999985448085</v>
      </c>
      <c r="R813" s="11" t="str">
        <f t="shared" si="1"/>
        <v>Пайка компонентов SEC</v>
      </c>
      <c r="S813" s="12" t="str">
        <f>iferror(VLOOKUP(C813,'ФИО'!A:B,2,0),"учётный код не найден")</f>
        <v>THT</v>
      </c>
      <c r="T813" s="13" t="str">
        <f t="shared" si="2"/>
        <v>915-00097.A - ПКД-8В-3 АСЛБ.467249.110 (Квант)</v>
      </c>
      <c r="U813" s="8">
        <v>12.0</v>
      </c>
      <c r="V813" s="8">
        <v>0.0</v>
      </c>
      <c r="W813" s="17" t="str">
        <f t="shared" si="88"/>
        <v>Данные не заполены</v>
      </c>
      <c r="X813" s="14" t="str">
        <f t="shared" si="89"/>
        <v>Данные не заполены</v>
      </c>
      <c r="Y813" s="15">
        <f t="shared" si="90"/>
        <v>0</v>
      </c>
    </row>
    <row r="814" hidden="1">
      <c r="A814" s="7">
        <v>44117.82029765046</v>
      </c>
      <c r="B814" s="8" t="s">
        <v>127</v>
      </c>
      <c r="C814" s="8">
        <v>22574.0</v>
      </c>
      <c r="D814" s="8" t="s">
        <v>27</v>
      </c>
      <c r="E814" s="8" t="s">
        <v>85</v>
      </c>
      <c r="G814" s="8">
        <v>3622.0</v>
      </c>
      <c r="H814" s="8" t="s">
        <v>29</v>
      </c>
      <c r="I814" s="8" t="s">
        <v>90</v>
      </c>
      <c r="L814" s="8" t="s">
        <v>31</v>
      </c>
      <c r="M814" s="8" t="s">
        <v>34</v>
      </c>
      <c r="P814" s="9">
        <v>44117.0</v>
      </c>
      <c r="Q814" s="10">
        <v>0.020833333335758653</v>
      </c>
      <c r="R814" s="11" t="str">
        <f t="shared" si="1"/>
        <v>Очистка трафаретного принтера</v>
      </c>
      <c r="S814" s="16" t="str">
        <f>iferror(VLOOKUP(C814,'ФИО'!A:B,2,0),"учётный код не найден")</f>
        <v>Шапенков Геннадий Михайлович</v>
      </c>
      <c r="T814" s="11" t="str">
        <f t="shared" si="2"/>
        <v>915-00124.A - Tioga Pass_v1.1 (Гагар.ин)</v>
      </c>
      <c r="U814" s="8">
        <v>0.0</v>
      </c>
      <c r="V814" s="8">
        <v>0.0</v>
      </c>
      <c r="W814" s="17" t="str">
        <f t="shared" si="88"/>
        <v>Данные не заполены</v>
      </c>
      <c r="X814" s="14" t="str">
        <f t="shared" si="89"/>
        <v>Данные не заполены</v>
      </c>
      <c r="Y814" s="15">
        <f t="shared" si="90"/>
        <v>0</v>
      </c>
    </row>
    <row r="815" hidden="1">
      <c r="A815" s="7">
        <v>44132.820617708334</v>
      </c>
      <c r="B815" s="8" t="s">
        <v>127</v>
      </c>
      <c r="C815" s="8">
        <v>22574.0</v>
      </c>
      <c r="D815" s="8" t="s">
        <v>27</v>
      </c>
      <c r="E815" s="8" t="s">
        <v>182</v>
      </c>
      <c r="G815" s="8">
        <v>3621.0</v>
      </c>
      <c r="H815" s="8" t="s">
        <v>29</v>
      </c>
      <c r="I815" s="8" t="s">
        <v>54</v>
      </c>
      <c r="L815" s="8" t="s">
        <v>31</v>
      </c>
      <c r="M815" s="8" t="s">
        <v>34</v>
      </c>
      <c r="P815" s="9">
        <v>44132.0</v>
      </c>
      <c r="Q815" s="10">
        <v>0.20833333333575865</v>
      </c>
      <c r="R815" s="11" t="str">
        <f t="shared" si="1"/>
        <v>Подготовка компонентов к зарядке</v>
      </c>
      <c r="S815" s="16" t="str">
        <f>iferror(VLOOKUP(C815,'ФИО'!A:B,2,0),"учётный код не найден")</f>
        <v>Шапенков Геннадий Михайлович</v>
      </c>
      <c r="T815" s="11" t="str">
        <f t="shared" si="2"/>
        <v>915-00121.A - Процессорный модуль РСЕН.469555.027 (КНС Групп)</v>
      </c>
      <c r="U815" s="8">
        <v>0.0</v>
      </c>
      <c r="V815" s="8">
        <v>0.0</v>
      </c>
      <c r="W815" s="17" t="str">
        <f t="shared" si="88"/>
        <v>Данные не заполены</v>
      </c>
      <c r="X815" s="14" t="str">
        <f t="shared" si="89"/>
        <v>Данные не заполены</v>
      </c>
      <c r="Y815" s="15">
        <f t="shared" si="90"/>
        <v>0</v>
      </c>
    </row>
    <row r="816" hidden="1">
      <c r="A816" s="7">
        <v>44108.8266465162</v>
      </c>
      <c r="B816" s="8" t="s">
        <v>127</v>
      </c>
      <c r="C816" s="8">
        <v>22574.0</v>
      </c>
      <c r="D816" s="8" t="s">
        <v>27</v>
      </c>
      <c r="E816" s="8" t="s">
        <v>66</v>
      </c>
      <c r="G816" s="8">
        <v>3233.0</v>
      </c>
      <c r="H816" s="8" t="s">
        <v>29</v>
      </c>
      <c r="I816" s="8" t="s">
        <v>60</v>
      </c>
      <c r="L816" s="8" t="s">
        <v>37</v>
      </c>
      <c r="P816" s="9">
        <v>44108.0</v>
      </c>
      <c r="Q816" s="10">
        <v>0.08333333333575865</v>
      </c>
      <c r="R816" s="11" t="str">
        <f t="shared" si="1"/>
        <v>Проверка первой платы до оплавления</v>
      </c>
      <c r="S816" s="16" t="str">
        <f>iferror(VLOOKUP(C816,'ФИО'!A:B,2,0),"учётный код не найден")</f>
        <v>Шапенков Геннадий Михайлович</v>
      </c>
      <c r="T816" s="11" t="str">
        <f t="shared" si="2"/>
        <v>915-00102.A - ПБОК-2В АСЛБ.465285.013 (Квант)</v>
      </c>
      <c r="U816" s="8">
        <v>0.0</v>
      </c>
      <c r="V816" s="8">
        <v>0.0</v>
      </c>
      <c r="W816" s="21" t="str">
        <f t="shared" si="88"/>
        <v>Данные не заполены</v>
      </c>
      <c r="X816" s="15" t="str">
        <f t="shared" si="89"/>
        <v>Данные не заполены</v>
      </c>
      <c r="Y816" s="15">
        <f t="shared" si="90"/>
        <v>0</v>
      </c>
    </row>
    <row r="817" hidden="1">
      <c r="A817" s="7">
        <v>44113.3396890625</v>
      </c>
      <c r="B817" s="8" t="s">
        <v>126</v>
      </c>
      <c r="C817" s="8">
        <v>60000.0</v>
      </c>
      <c r="D817" s="8" t="s">
        <v>69</v>
      </c>
      <c r="F817" s="8" t="s">
        <v>72</v>
      </c>
      <c r="G817" s="8">
        <v>3233.0</v>
      </c>
      <c r="H817" s="8" t="s">
        <v>29</v>
      </c>
      <c r="I817" s="8" t="s">
        <v>60</v>
      </c>
      <c r="L817" s="8" t="s">
        <v>37</v>
      </c>
      <c r="M817" s="8" t="s">
        <v>34</v>
      </c>
      <c r="N817" s="8"/>
      <c r="O817" s="8"/>
      <c r="P817" s="9">
        <v>44111.0</v>
      </c>
      <c r="Q817" s="10">
        <v>0.0625</v>
      </c>
      <c r="R817" s="11" t="str">
        <f t="shared" si="1"/>
        <v>Пайка компонентов PRI</v>
      </c>
      <c r="S817" s="12" t="str">
        <f>iferror(VLOOKUP(C817,'ФИО'!A:B,2,0),"учётный код не найден")</f>
        <v>THT</v>
      </c>
      <c r="T817" s="13" t="str">
        <f t="shared" si="2"/>
        <v>915-00102.A - ПБОК-2В АСЛБ.465285.013 (Квант)</v>
      </c>
      <c r="U817" s="8">
        <v>39.0</v>
      </c>
      <c r="V817" s="8">
        <v>0.0</v>
      </c>
      <c r="W817" s="21" t="str">
        <f t="shared" si="88"/>
        <v>Данные не заполены</v>
      </c>
      <c r="X817" s="15" t="str">
        <f t="shared" si="89"/>
        <v>Данные не заполены</v>
      </c>
      <c r="Y817" s="15">
        <f t="shared" si="90"/>
        <v>0</v>
      </c>
    </row>
    <row r="818" hidden="1">
      <c r="A818" s="7">
        <v>44113.33462807871</v>
      </c>
      <c r="B818" s="8" t="s">
        <v>126</v>
      </c>
      <c r="C818" s="8">
        <v>22063.0</v>
      </c>
      <c r="D818" s="8" t="s">
        <v>69</v>
      </c>
      <c r="F818" s="8" t="s">
        <v>72</v>
      </c>
      <c r="G818" s="8">
        <v>3579.0</v>
      </c>
      <c r="H818" s="8" t="s">
        <v>29</v>
      </c>
      <c r="I818" s="8" t="s">
        <v>42</v>
      </c>
      <c r="L818" s="8" t="s">
        <v>37</v>
      </c>
      <c r="P818" s="9">
        <v>44112.0</v>
      </c>
      <c r="Q818" s="10">
        <v>0.08333333333575865</v>
      </c>
      <c r="R818" s="11" t="str">
        <f t="shared" si="1"/>
        <v>Пайка компонентов PRI</v>
      </c>
      <c r="S818" s="16" t="str">
        <f>iferror(VLOOKUP(C818,'ФИО'!A:B,2,0),"учётный код не найден")</f>
        <v>Белоглазов Сергей Анатольевич</v>
      </c>
      <c r="T818" s="13" t="str">
        <f t="shared" si="2"/>
        <v>915-00070.A - Модуль телематики ТМ1 v3 (Сознательные машины)</v>
      </c>
      <c r="U818" s="8">
        <v>153.0</v>
      </c>
      <c r="V818" s="8">
        <v>0.0</v>
      </c>
      <c r="W818" s="21" t="str">
        <f t="shared" si="88"/>
        <v>Данные не заполены</v>
      </c>
      <c r="X818" s="15" t="str">
        <f t="shared" si="89"/>
        <v>Данные не заполены</v>
      </c>
      <c r="Y818" s="15">
        <f t="shared" si="90"/>
        <v>0</v>
      </c>
    </row>
    <row r="819" hidden="1">
      <c r="A819" s="7">
        <v>44113.361688819445</v>
      </c>
      <c r="B819" s="8" t="s">
        <v>126</v>
      </c>
      <c r="C819" s="8">
        <v>60000.0</v>
      </c>
      <c r="D819" s="8" t="s">
        <v>69</v>
      </c>
      <c r="F819" s="8" t="s">
        <v>72</v>
      </c>
      <c r="G819" s="8">
        <v>3240.0</v>
      </c>
      <c r="H819" s="8" t="s">
        <v>29</v>
      </c>
      <c r="I819" s="8" t="s">
        <v>42</v>
      </c>
      <c r="L819" s="8" t="s">
        <v>37</v>
      </c>
      <c r="M819" s="8" t="s">
        <v>34</v>
      </c>
      <c r="N819" s="8"/>
      <c r="O819" s="8"/>
      <c r="P819" s="9">
        <v>44112.0</v>
      </c>
      <c r="Q819" s="10">
        <v>0.08333333333575865</v>
      </c>
      <c r="R819" s="11" t="str">
        <f t="shared" si="1"/>
        <v>Пайка компонентов PRI</v>
      </c>
      <c r="S819" s="12" t="str">
        <f>iferror(VLOOKUP(C819,'ФИО'!A:B,2,0),"учётный код не найден")</f>
        <v>THT</v>
      </c>
      <c r="T819" s="13" t="str">
        <f t="shared" si="2"/>
        <v>915-00070.A - Модуль телематики ТМ1 v3 (Сознательные машины)</v>
      </c>
      <c r="U819" s="8">
        <v>153.0</v>
      </c>
      <c r="V819" s="8">
        <v>0.0</v>
      </c>
      <c r="W819" s="21" t="str">
        <f t="shared" si="88"/>
        <v>Данные не заполены</v>
      </c>
      <c r="X819" s="15" t="str">
        <f t="shared" si="89"/>
        <v>Данные не заполены</v>
      </c>
      <c r="Y819" s="15">
        <f t="shared" si="90"/>
        <v>0</v>
      </c>
    </row>
    <row r="820" hidden="1">
      <c r="A820" s="7">
        <v>44132.31945328704</v>
      </c>
      <c r="B820" s="8" t="s">
        <v>38</v>
      </c>
      <c r="C820" s="8">
        <v>21475.0</v>
      </c>
      <c r="D820" s="8" t="s">
        <v>69</v>
      </c>
      <c r="F820" s="8" t="s">
        <v>103</v>
      </c>
      <c r="G820" s="8">
        <v>3253.0</v>
      </c>
      <c r="H820" s="8" t="s">
        <v>29</v>
      </c>
      <c r="I820" s="8" t="s">
        <v>95</v>
      </c>
      <c r="L820" s="8" t="s">
        <v>37</v>
      </c>
      <c r="P820" s="9">
        <v>44131.0</v>
      </c>
      <c r="Q820" s="10">
        <v>0.08333333333575865</v>
      </c>
      <c r="R820" s="11" t="str">
        <f t="shared" si="1"/>
        <v>Проверка на АОИ PRI</v>
      </c>
      <c r="S820" s="12" t="str">
        <f>iferror(VLOOKUP(C820,'ФИО'!A:B,2,0),"учётный код не найден")</f>
        <v>Байрамашвили Альберт Зурабович</v>
      </c>
      <c r="T820" s="13" t="str">
        <f t="shared" si="2"/>
        <v>915-00095.A - ПКД-8В-1 АСЛБ.467249.108 (Квант)</v>
      </c>
      <c r="U820" s="8">
        <v>51.0</v>
      </c>
      <c r="V820" s="8">
        <v>0.0</v>
      </c>
      <c r="X820" s="14" t="str">
        <f t="shared" si="89"/>
        <v>Данные не заполены</v>
      </c>
      <c r="Y820" s="15">
        <f t="shared" si="90"/>
        <v>0</v>
      </c>
    </row>
    <row r="821" hidden="1">
      <c r="A821" s="7">
        <v>44109.3273562963</v>
      </c>
      <c r="B821" s="8" t="s">
        <v>38</v>
      </c>
      <c r="C821" s="8">
        <v>21475.0</v>
      </c>
      <c r="D821" s="8" t="s">
        <v>27</v>
      </c>
      <c r="E821" s="8" t="s">
        <v>66</v>
      </c>
      <c r="G821" s="8">
        <v>3726.0</v>
      </c>
      <c r="H821" s="8" t="s">
        <v>45</v>
      </c>
      <c r="K821" s="8" t="s">
        <v>58</v>
      </c>
      <c r="L821" s="8" t="s">
        <v>31</v>
      </c>
      <c r="M821" s="8" t="s">
        <v>34</v>
      </c>
      <c r="N821" s="8"/>
      <c r="O821" s="8"/>
      <c r="P821" s="9">
        <v>44108.0</v>
      </c>
      <c r="Q821" s="10">
        <v>0.013888888890505768</v>
      </c>
      <c r="R821" s="11" t="str">
        <f t="shared" si="1"/>
        <v>Проверка первой платы до оплавления</v>
      </c>
      <c r="S821" s="16" t="str">
        <f>iferror(VLOOKUP(C821,'ФИО'!A:B,2,0),"учётный код не найден")</f>
        <v>Байрамашвили Альберт Зурабович</v>
      </c>
      <c r="T821" s="13" t="str">
        <f t="shared" si="2"/>
        <v>ПУ метки i95</v>
      </c>
      <c r="U821" s="8">
        <v>1.0</v>
      </c>
      <c r="V821" s="8">
        <v>0.0</v>
      </c>
      <c r="W821" s="21" t="str">
        <f t="shared" ref="W821:W822" si="91">IFERROR((((38412/(ifs(O821&lt;35,35,O821&gt;34,O821)/N821)*0.7))),"Данные не заполены")</f>
        <v>Данные не заполены</v>
      </c>
      <c r="X821" s="15" t="str">
        <f t="shared" si="89"/>
        <v>Данные не заполены</v>
      </c>
      <c r="Y821" s="15">
        <f t="shared" si="90"/>
        <v>0</v>
      </c>
    </row>
    <row r="822" hidden="1">
      <c r="A822" s="7">
        <v>44120.822070486116</v>
      </c>
      <c r="B822" s="8" t="s">
        <v>26</v>
      </c>
      <c r="C822" s="8">
        <v>21475.0</v>
      </c>
      <c r="D822" s="8" t="s">
        <v>27</v>
      </c>
      <c r="E822" s="8" t="s">
        <v>66</v>
      </c>
      <c r="G822" s="8">
        <v>3649.0</v>
      </c>
      <c r="H822" s="8" t="s">
        <v>29</v>
      </c>
      <c r="I822" s="8" t="s">
        <v>33</v>
      </c>
      <c r="L822" s="8" t="s">
        <v>31</v>
      </c>
      <c r="M822" s="8" t="s">
        <v>34</v>
      </c>
      <c r="P822" s="9">
        <v>44120.0</v>
      </c>
      <c r="Q822" s="10">
        <v>0.04166666666424135</v>
      </c>
      <c r="R822" s="11" t="str">
        <f t="shared" si="1"/>
        <v>Проверка первой платы до оплавления</v>
      </c>
      <c r="S822" s="16" t="str">
        <f>iferror(VLOOKUP(C822,'ФИО'!A:B,2,0),"учётный код не найден")</f>
        <v>Байрамашвили Альберт Зурабович</v>
      </c>
      <c r="T822" s="13" t="str">
        <f t="shared" si="2"/>
        <v>ssfp2.2 (Метротек)</v>
      </c>
      <c r="U822" s="8">
        <v>0.0</v>
      </c>
      <c r="V822" s="8">
        <v>0.0</v>
      </c>
      <c r="W822" s="17" t="str">
        <f t="shared" si="91"/>
        <v>Данные не заполены</v>
      </c>
      <c r="X822" s="14" t="str">
        <f t="shared" si="89"/>
        <v>Данные не заполены</v>
      </c>
      <c r="Y822" s="15">
        <f t="shared" si="90"/>
        <v>0</v>
      </c>
    </row>
    <row r="823" hidden="1">
      <c r="A823" s="7">
        <v>44129.83470032408</v>
      </c>
      <c r="B823" s="8" t="s">
        <v>26</v>
      </c>
      <c r="C823" s="8">
        <v>21475.0</v>
      </c>
      <c r="D823" s="8" t="s">
        <v>27</v>
      </c>
      <c r="E823" s="8" t="s">
        <v>66</v>
      </c>
      <c r="G823" s="8">
        <v>3621.0</v>
      </c>
      <c r="H823" s="8" t="s">
        <v>29</v>
      </c>
      <c r="I823" s="8" t="s">
        <v>30</v>
      </c>
      <c r="L823" s="8" t="s">
        <v>31</v>
      </c>
      <c r="M823" s="8" t="s">
        <v>34</v>
      </c>
      <c r="P823" s="9">
        <v>44129.0</v>
      </c>
      <c r="Q823" s="10">
        <v>0.08333333333575865</v>
      </c>
      <c r="R823" s="11" t="str">
        <f t="shared" si="1"/>
        <v>Проверка первой платы до оплавления</v>
      </c>
      <c r="S823" s="12" t="str">
        <f>iferror(VLOOKUP(C823,'ФИО'!A:B,2,0),"учётный код не найден")</f>
        <v>Байрамашвили Альберт Зурабович</v>
      </c>
      <c r="T823" s="13" t="str">
        <f t="shared" si="2"/>
        <v>915-00121.A - Процессорный модуль РСЕН.469555.027 (КНС Групп) в ТС</v>
      </c>
      <c r="U823" s="8">
        <v>0.0</v>
      </c>
      <c r="V823" s="8">
        <v>0.0</v>
      </c>
      <c r="X823" s="14" t="str">
        <f t="shared" si="89"/>
        <v>Данные не заполены</v>
      </c>
      <c r="Y823" s="15">
        <f t="shared" si="90"/>
        <v>0</v>
      </c>
    </row>
    <row r="824" hidden="1">
      <c r="A824" s="7">
        <v>44133.317237511576</v>
      </c>
      <c r="B824" s="8" t="s">
        <v>38</v>
      </c>
      <c r="C824" s="8">
        <v>21475.0</v>
      </c>
      <c r="D824" s="8" t="s">
        <v>27</v>
      </c>
      <c r="E824" s="8" t="s">
        <v>66</v>
      </c>
      <c r="G824" s="8">
        <v>3802.0</v>
      </c>
      <c r="H824" s="8" t="s">
        <v>45</v>
      </c>
      <c r="K824" s="8" t="s">
        <v>120</v>
      </c>
      <c r="L824" s="8" t="s">
        <v>31</v>
      </c>
      <c r="M824" s="8" t="s">
        <v>34</v>
      </c>
      <c r="P824" s="9">
        <v>44132.0</v>
      </c>
      <c r="Q824" s="10">
        <v>0.04166666666424135</v>
      </c>
      <c r="R824" s="11" t="str">
        <f t="shared" si="1"/>
        <v>Проверка первой платы до оплавления</v>
      </c>
      <c r="S824" s="12" t="str">
        <f>iferror(VLOOKUP(C824,'ФИО'!A:B,2,0),"учётный код не найден")</f>
        <v>Байрамашвили Альберт Зурабович</v>
      </c>
      <c r="T824" s="13" t="str">
        <f t="shared" si="2"/>
        <v>М15ECO (900-00030.С) 910-00034.C/910-00041.C</v>
      </c>
      <c r="U824" s="8">
        <v>0.0</v>
      </c>
      <c r="V824" s="8">
        <v>0.0</v>
      </c>
      <c r="X824" s="14" t="str">
        <f t="shared" si="89"/>
        <v>Данные не заполены</v>
      </c>
      <c r="Y824" s="15">
        <f t="shared" si="90"/>
        <v>0</v>
      </c>
    </row>
    <row r="825" hidden="1">
      <c r="A825" s="7">
        <v>44113.81443028935</v>
      </c>
      <c r="B825" s="8" t="s">
        <v>26</v>
      </c>
      <c r="C825" s="8">
        <v>21475.0</v>
      </c>
      <c r="D825" s="8" t="s">
        <v>69</v>
      </c>
      <c r="F825" s="8" t="s">
        <v>207</v>
      </c>
      <c r="G825" s="8">
        <v>3579.0</v>
      </c>
      <c r="H825" s="8" t="s">
        <v>29</v>
      </c>
      <c r="I825" s="8" t="s">
        <v>42</v>
      </c>
      <c r="L825" s="8" t="s">
        <v>31</v>
      </c>
      <c r="M825" s="8" t="s">
        <v>34</v>
      </c>
      <c r="N825" s="8"/>
      <c r="O825" s="8"/>
      <c r="P825" s="9">
        <v>44113.0</v>
      </c>
      <c r="Q825" s="10">
        <v>0.013888888890505768</v>
      </c>
      <c r="R825" s="11" t="str">
        <f t="shared" si="1"/>
        <v>Проверка первой платы после пайки</v>
      </c>
      <c r="S825" s="16" t="str">
        <f>iferror(VLOOKUP(C825,'ФИО'!A:B,2,0),"учётный код не найден")</f>
        <v>Байрамашвили Альберт Зурабович</v>
      </c>
      <c r="T825" s="13" t="str">
        <f t="shared" si="2"/>
        <v>915-00070.A - Модуль телематики ТМ1 v3 (Сознательные машины)</v>
      </c>
      <c r="U825" s="8">
        <v>1.0</v>
      </c>
      <c r="V825" s="8">
        <v>0.0</v>
      </c>
      <c r="W825" s="21" t="str">
        <f t="shared" ref="W825:W826" si="92">IFERROR((((38412/(ifs(O825&lt;35,35,O825&gt;34,O825)/N825)*0.7))),"Данные не заполены")</f>
        <v>Данные не заполены</v>
      </c>
      <c r="X825" s="15" t="str">
        <f t="shared" si="89"/>
        <v>Данные не заполены</v>
      </c>
      <c r="Y825" s="15">
        <f t="shared" si="90"/>
        <v>0</v>
      </c>
    </row>
    <row r="826" hidden="1">
      <c r="A826" s="7">
        <v>44113.82174166667</v>
      </c>
      <c r="B826" s="8" t="s">
        <v>26</v>
      </c>
      <c r="C826" s="8">
        <v>21475.0</v>
      </c>
      <c r="D826" s="8" t="s">
        <v>69</v>
      </c>
      <c r="F826" s="8" t="s">
        <v>207</v>
      </c>
      <c r="G826" s="8">
        <v>3580.0</v>
      </c>
      <c r="H826" s="8" t="s">
        <v>29</v>
      </c>
      <c r="I826" s="8" t="s">
        <v>145</v>
      </c>
      <c r="L826" s="8" t="s">
        <v>31</v>
      </c>
      <c r="M826" s="8" t="s">
        <v>34</v>
      </c>
      <c r="N826" s="8"/>
      <c r="O826" s="8"/>
      <c r="P826" s="9">
        <v>44113.0</v>
      </c>
      <c r="Q826" s="10">
        <v>0.013888888890505768</v>
      </c>
      <c r="R826" s="11" t="str">
        <f t="shared" si="1"/>
        <v>Проверка первой платы после пайки</v>
      </c>
      <c r="S826" s="16" t="str">
        <f>iferror(VLOOKUP(C826,'ФИО'!A:B,2,0),"учётный код не найден")</f>
        <v>Байрамашвили Альберт Зурабович</v>
      </c>
      <c r="T826" s="13" t="str">
        <f t="shared" si="2"/>
        <v>XR (OÜ KLARBERG)</v>
      </c>
      <c r="U826" s="8">
        <v>1.0</v>
      </c>
      <c r="V826" s="8">
        <v>0.0</v>
      </c>
      <c r="W826" s="21" t="str">
        <f t="shared" si="92"/>
        <v>Данные не заполены</v>
      </c>
      <c r="X826" s="15" t="str">
        <f t="shared" si="89"/>
        <v>Данные не заполены</v>
      </c>
      <c r="Y826" s="15">
        <f t="shared" si="90"/>
        <v>0</v>
      </c>
    </row>
    <row r="827" hidden="1">
      <c r="A827" s="7">
        <v>44132.32338452546</v>
      </c>
      <c r="B827" s="8" t="s">
        <v>38</v>
      </c>
      <c r="C827" s="8">
        <v>21475.0</v>
      </c>
      <c r="D827" s="8" t="s">
        <v>69</v>
      </c>
      <c r="F827" s="8" t="s">
        <v>216</v>
      </c>
      <c r="G827" s="8">
        <v>3253.0</v>
      </c>
      <c r="H827" s="8" t="s">
        <v>29</v>
      </c>
      <c r="I827" s="8" t="s">
        <v>95</v>
      </c>
      <c r="L827" s="8" t="s">
        <v>31</v>
      </c>
      <c r="M827" s="8" t="s">
        <v>217</v>
      </c>
      <c r="P827" s="9">
        <v>44131.0</v>
      </c>
      <c r="Q827" s="10">
        <v>0.020833333335758653</v>
      </c>
      <c r="R827" s="11" t="str">
        <f t="shared" si="1"/>
        <v>Проверка участка после смены</v>
      </c>
      <c r="S827" s="12" t="str">
        <f>iferror(VLOOKUP(C827,'ФИО'!A:B,2,0),"учётный код не найден")</f>
        <v>Байрамашвили Альберт Зурабович</v>
      </c>
      <c r="T827" s="13" t="str">
        <f t="shared" si="2"/>
        <v>915-00095.A - ПКД-8В-1 АСЛБ.467249.108 (Квант)</v>
      </c>
      <c r="U827" s="8">
        <v>0.0</v>
      </c>
      <c r="V827" s="8">
        <v>0.0</v>
      </c>
      <c r="X827" s="14" t="str">
        <f t="shared" si="89"/>
        <v>Данные не заполены</v>
      </c>
      <c r="Y827" s="15">
        <f t="shared" si="90"/>
        <v>0</v>
      </c>
    </row>
    <row r="828" hidden="1">
      <c r="A828" s="7">
        <v>44113.81153605324</v>
      </c>
      <c r="B828" s="8" t="s">
        <v>26</v>
      </c>
      <c r="C828" s="8">
        <v>21475.0</v>
      </c>
      <c r="D828" s="8" t="s">
        <v>27</v>
      </c>
      <c r="E828" s="8" t="s">
        <v>68</v>
      </c>
      <c r="L828" s="8" t="s">
        <v>31</v>
      </c>
      <c r="M828" s="8" t="s">
        <v>34</v>
      </c>
      <c r="N828" s="8"/>
      <c r="O828" s="8"/>
      <c r="P828" s="9">
        <v>44113.0</v>
      </c>
      <c r="Q828" s="10">
        <v>0.04166666666424135</v>
      </c>
      <c r="R828" s="11" t="str">
        <f t="shared" si="1"/>
        <v>Прохождение обучения</v>
      </c>
      <c r="S828" s="16" t="str">
        <f>iferror(VLOOKUP(C828,'ФИО'!A:B,2,0),"учётный код не найден")</f>
        <v>Байрамашвили Альберт Зурабович</v>
      </c>
      <c r="T828" s="13" t="str">
        <f t="shared" si="2"/>
        <v/>
      </c>
      <c r="W828" s="21" t="str">
        <f t="shared" ref="W828:W832" si="93">IFERROR((((38412/(ifs(O828&lt;35,35,O828&gt;34,O828)/N828)*0.7))),"Данные не заполены")</f>
        <v>Данные не заполены</v>
      </c>
      <c r="X828" s="15" t="str">
        <f t="shared" si="89"/>
        <v>Данные не заполены</v>
      </c>
      <c r="Y828" s="15">
        <f t="shared" si="90"/>
        <v>0</v>
      </c>
    </row>
    <row r="829" hidden="1">
      <c r="A829" s="7">
        <v>44108.32955030093</v>
      </c>
      <c r="B829" s="8" t="s">
        <v>38</v>
      </c>
      <c r="C829" s="8">
        <v>21803.0</v>
      </c>
      <c r="D829" s="8" t="s">
        <v>27</v>
      </c>
      <c r="E829" s="8" t="s">
        <v>66</v>
      </c>
      <c r="G829" s="8">
        <v>3706.0</v>
      </c>
      <c r="H829" s="8" t="s">
        <v>45</v>
      </c>
      <c r="K829" s="8" t="s">
        <v>91</v>
      </c>
      <c r="L829" s="8" t="s">
        <v>31</v>
      </c>
      <c r="M829" s="8" t="s">
        <v>34</v>
      </c>
      <c r="N829" s="8"/>
      <c r="O829" s="8"/>
      <c r="P829" s="9">
        <v>44107.0</v>
      </c>
      <c r="Q829" s="10">
        <v>0.010416666664241347</v>
      </c>
      <c r="R829" s="11" t="str">
        <f t="shared" si="1"/>
        <v>Проверка первой платы до оплавления</v>
      </c>
      <c r="S829" s="16" t="str">
        <f>iferror(VLOOKUP(C829,'ФИО'!A:B,2,0),"учётный код не найден")</f>
        <v>Белоглазова Виктория Сергеевна</v>
      </c>
      <c r="T829" s="13" t="str">
        <f t="shared" si="2"/>
        <v>ПУ Сигма 10/15 910-00080.D</v>
      </c>
      <c r="U829" s="8">
        <v>0.0</v>
      </c>
      <c r="V829" s="8">
        <v>0.0</v>
      </c>
      <c r="W829" s="21" t="str">
        <f t="shared" si="93"/>
        <v>Данные не заполены</v>
      </c>
      <c r="X829" s="15" t="str">
        <f t="shared" si="89"/>
        <v>Данные не заполены</v>
      </c>
      <c r="Y829" s="15">
        <f t="shared" si="90"/>
        <v>0</v>
      </c>
    </row>
    <row r="830" hidden="1">
      <c r="A830" s="7">
        <v>44109.31492101852</v>
      </c>
      <c r="B830" s="8" t="s">
        <v>38</v>
      </c>
      <c r="C830" s="8">
        <v>21803.0</v>
      </c>
      <c r="D830" s="8" t="s">
        <v>27</v>
      </c>
      <c r="E830" s="8" t="s">
        <v>66</v>
      </c>
      <c r="G830" s="8">
        <v>3233.0</v>
      </c>
      <c r="H830" s="8" t="s">
        <v>29</v>
      </c>
      <c r="I830" s="8" t="s">
        <v>60</v>
      </c>
      <c r="L830" s="8" t="s">
        <v>31</v>
      </c>
      <c r="M830" s="8" t="s">
        <v>34</v>
      </c>
      <c r="N830" s="8"/>
      <c r="O830" s="8"/>
      <c r="P830" s="9">
        <v>44108.0</v>
      </c>
      <c r="Q830" s="10">
        <v>0.04166666666424135</v>
      </c>
      <c r="R830" s="11" t="str">
        <f t="shared" si="1"/>
        <v>Проверка первой платы до оплавления</v>
      </c>
      <c r="S830" s="16" t="str">
        <f>iferror(VLOOKUP(C830,'ФИО'!A:B,2,0),"учётный код не найден")</f>
        <v>Белоглазова Виктория Сергеевна</v>
      </c>
      <c r="T830" s="13" t="str">
        <f t="shared" si="2"/>
        <v>915-00102.A - ПБОК-2В АСЛБ.465285.013 (Квант)</v>
      </c>
      <c r="U830" s="8">
        <v>0.0</v>
      </c>
      <c r="V830" s="8">
        <v>0.0</v>
      </c>
      <c r="W830" s="21" t="str">
        <f t="shared" si="93"/>
        <v>Данные не заполены</v>
      </c>
      <c r="X830" s="15" t="str">
        <f t="shared" si="89"/>
        <v>Данные не заполены</v>
      </c>
      <c r="Y830" s="15">
        <f t="shared" si="90"/>
        <v>0</v>
      </c>
    </row>
    <row r="831" hidden="1">
      <c r="A831" s="7">
        <v>44113.81746310185</v>
      </c>
      <c r="B831" s="8" t="s">
        <v>26</v>
      </c>
      <c r="C831" s="8">
        <v>21803.0</v>
      </c>
      <c r="D831" s="8" t="s">
        <v>27</v>
      </c>
      <c r="E831" s="8" t="s">
        <v>66</v>
      </c>
      <c r="G831" s="8">
        <v>3750.0</v>
      </c>
      <c r="H831" s="8" t="s">
        <v>45</v>
      </c>
      <c r="K831" s="8" t="s">
        <v>46</v>
      </c>
      <c r="L831" s="8" t="s">
        <v>31</v>
      </c>
      <c r="M831" s="8" t="s">
        <v>34</v>
      </c>
      <c r="N831" s="8"/>
      <c r="O831" s="8"/>
      <c r="P831" s="9">
        <v>44113.0</v>
      </c>
      <c r="Q831" s="10">
        <v>0.08333333333575865</v>
      </c>
      <c r="R831" s="11" t="str">
        <f t="shared" si="1"/>
        <v>Проверка первой платы до оплавления</v>
      </c>
      <c r="S831" s="16" t="str">
        <f>iferror(VLOOKUP(C831,'ФИО'!A:B,2,0),"учётный код не найден")</f>
        <v>Белоглазова Виктория Сергеевна</v>
      </c>
      <c r="T831" s="13" t="str">
        <f t="shared" si="2"/>
        <v>ПУ 910-00349.A "Печатный узел основного блока E96 4LIN"</v>
      </c>
      <c r="U831" s="8">
        <v>0.0</v>
      </c>
      <c r="V831" s="8">
        <v>0.0</v>
      </c>
      <c r="W831" s="21" t="str">
        <f t="shared" si="93"/>
        <v>Данные не заполены</v>
      </c>
      <c r="X831" s="15" t="str">
        <f t="shared" si="89"/>
        <v>Данные не заполены</v>
      </c>
      <c r="Y831" s="15">
        <f t="shared" si="90"/>
        <v>0</v>
      </c>
    </row>
    <row r="832" hidden="1">
      <c r="A832" s="7">
        <v>44116.324214837965</v>
      </c>
      <c r="B832" s="8" t="s">
        <v>38</v>
      </c>
      <c r="C832" s="8">
        <v>21803.0</v>
      </c>
      <c r="D832" s="8" t="s">
        <v>27</v>
      </c>
      <c r="E832" s="8" t="s">
        <v>66</v>
      </c>
      <c r="G832" s="8">
        <v>3750.0</v>
      </c>
      <c r="H832" s="8" t="s">
        <v>9</v>
      </c>
      <c r="J832" s="8" t="s">
        <v>46</v>
      </c>
      <c r="L832" s="8" t="s">
        <v>31</v>
      </c>
      <c r="M832" s="8" t="s">
        <v>34</v>
      </c>
      <c r="N832" s="8"/>
      <c r="O832" s="8"/>
      <c r="P832" s="9">
        <v>44115.0</v>
      </c>
      <c r="Q832" s="10">
        <v>0.013888888890505768</v>
      </c>
      <c r="R832" s="11" t="str">
        <f t="shared" si="1"/>
        <v>Проверка первой платы до оплавления</v>
      </c>
      <c r="S832" s="16" t="str">
        <f>iferror(VLOOKUP(C832,'ФИО'!A:B,2,0),"учётный код не найден")</f>
        <v>Белоглазова Виктория Сергеевна</v>
      </c>
      <c r="T832" s="13" t="str">
        <f t="shared" si="2"/>
        <v>ПУ 910-00349.A "Печатный узел основного блока E96 4LIN"</v>
      </c>
      <c r="U832" s="8">
        <v>0.0</v>
      </c>
      <c r="V832" s="8">
        <v>0.0</v>
      </c>
      <c r="W832" s="21" t="str">
        <f t="shared" si="93"/>
        <v>Данные не заполены</v>
      </c>
      <c r="X832" s="15" t="str">
        <f t="shared" si="89"/>
        <v>Данные не заполены</v>
      </c>
      <c r="Y832" s="15">
        <f t="shared" si="90"/>
        <v>0</v>
      </c>
    </row>
    <row r="833" hidden="1">
      <c r="A833" s="7">
        <v>44124.29098613426</v>
      </c>
      <c r="B833" s="8" t="s">
        <v>38</v>
      </c>
      <c r="C833" s="8">
        <v>21803.0</v>
      </c>
      <c r="D833" s="8" t="s">
        <v>27</v>
      </c>
      <c r="E833" s="8" t="s">
        <v>66</v>
      </c>
      <c r="G833" s="8">
        <v>3754.0</v>
      </c>
      <c r="H833" s="8" t="s">
        <v>45</v>
      </c>
      <c r="K833" s="8" t="s">
        <v>124</v>
      </c>
      <c r="L833" s="8" t="s">
        <v>31</v>
      </c>
      <c r="M833" s="8" t="s">
        <v>34</v>
      </c>
      <c r="P833" s="9">
        <v>44123.0</v>
      </c>
      <c r="Q833" s="10">
        <v>0.010416666664241347</v>
      </c>
      <c r="R833" s="11" t="str">
        <f t="shared" si="1"/>
        <v>Проверка первой платы до оплавления</v>
      </c>
      <c r="S833" s="16" t="str">
        <f>iferror(VLOOKUP(C833,'ФИО'!A:B,2,0),"учётный код не найден")</f>
        <v>Белоглазова Виктория Сергеевна</v>
      </c>
      <c r="T833" s="13" t="str">
        <f t="shared" si="2"/>
        <v>ПУ 910-00120.D - Печатный узел модуля 2CAN+LIN</v>
      </c>
      <c r="U833" s="8">
        <v>0.0</v>
      </c>
      <c r="V833" s="8">
        <v>0.0</v>
      </c>
      <c r="X833" s="14" t="str">
        <f t="shared" si="89"/>
        <v>Данные не заполены</v>
      </c>
      <c r="Y833" s="15">
        <f t="shared" si="90"/>
        <v>0</v>
      </c>
    </row>
    <row r="834" hidden="1">
      <c r="A834" s="7">
        <v>44125.31479709491</v>
      </c>
      <c r="B834" s="8" t="s">
        <v>38</v>
      </c>
      <c r="C834" s="8">
        <v>21803.0</v>
      </c>
      <c r="D834" s="8" t="s">
        <v>27</v>
      </c>
      <c r="E834" s="8" t="s">
        <v>66</v>
      </c>
      <c r="G834" s="8">
        <v>3253.0</v>
      </c>
      <c r="H834" s="8" t="s">
        <v>29</v>
      </c>
      <c r="I834" s="8" t="s">
        <v>95</v>
      </c>
      <c r="L834" s="8" t="s">
        <v>31</v>
      </c>
      <c r="M834" s="8" t="s">
        <v>34</v>
      </c>
      <c r="P834" s="9">
        <v>44124.0</v>
      </c>
      <c r="Q834" s="10">
        <v>0.020833333335758653</v>
      </c>
      <c r="R834" s="11" t="str">
        <f t="shared" si="1"/>
        <v>Проверка первой платы до оплавления</v>
      </c>
      <c r="S834" s="16" t="str">
        <f>iferror(VLOOKUP(C834,'ФИО'!A:B,2,0),"учётный код не найден")</f>
        <v>Белоглазова Виктория Сергеевна</v>
      </c>
      <c r="T834" s="13" t="str">
        <f t="shared" si="2"/>
        <v>915-00095.A - ПКД-8В-1 АСЛБ.467249.108 (Квант)</v>
      </c>
      <c r="U834" s="8">
        <v>0.0</v>
      </c>
      <c r="V834" s="8">
        <v>0.0</v>
      </c>
      <c r="X834" s="14" t="str">
        <f t="shared" si="89"/>
        <v>Данные не заполены</v>
      </c>
      <c r="Y834" s="15">
        <f t="shared" si="90"/>
        <v>0</v>
      </c>
    </row>
    <row r="835" hidden="1">
      <c r="A835" s="7">
        <v>44109.319956990745</v>
      </c>
      <c r="B835" s="8" t="s">
        <v>38</v>
      </c>
      <c r="C835" s="8">
        <v>21803.0</v>
      </c>
      <c r="D835" s="8" t="s">
        <v>27</v>
      </c>
      <c r="E835" s="8" t="s">
        <v>160</v>
      </c>
      <c r="G835" s="8">
        <v>3715.0</v>
      </c>
      <c r="H835" s="8" t="s">
        <v>29</v>
      </c>
      <c r="I835" s="8" t="s">
        <v>218</v>
      </c>
      <c r="L835" s="8" t="s">
        <v>31</v>
      </c>
      <c r="M835" s="8" t="s">
        <v>34</v>
      </c>
      <c r="N835" s="8"/>
      <c r="O835" s="8"/>
      <c r="P835" s="9">
        <v>44108.0</v>
      </c>
      <c r="Q835" s="10">
        <v>0.125</v>
      </c>
      <c r="R835" s="11" t="str">
        <f t="shared" si="1"/>
        <v>Проверка программы установщиков</v>
      </c>
      <c r="S835" s="16" t="str">
        <f>iferror(VLOOKUP(C835,'ФИО'!A:B,2,0),"учётный код не найден")</f>
        <v>Белоглазова Виктория Сергеевна</v>
      </c>
      <c r="T835" s="13" t="str">
        <f t="shared" si="2"/>
        <v>PYEA.466256.004.MB (ИСТ)</v>
      </c>
      <c r="U835" s="8">
        <v>0.0</v>
      </c>
      <c r="V835" s="8">
        <v>0.0</v>
      </c>
      <c r="W835" s="21" t="str">
        <f t="shared" ref="W835:W840" si="94">IFERROR((((38412/(ifs(O835&lt;35,35,O835&gt;34,O835)/N835)*0.7))),"Данные не заполены")</f>
        <v>Данные не заполены</v>
      </c>
      <c r="X835" s="15" t="str">
        <f t="shared" si="89"/>
        <v>Данные не заполены</v>
      </c>
      <c r="Y835" s="15">
        <f t="shared" si="90"/>
        <v>0</v>
      </c>
    </row>
    <row r="836" hidden="1">
      <c r="A836" s="7">
        <v>44120.82403655093</v>
      </c>
      <c r="B836" s="8" t="s">
        <v>26</v>
      </c>
      <c r="C836" s="8">
        <v>21803.0</v>
      </c>
      <c r="D836" s="8" t="s">
        <v>27</v>
      </c>
      <c r="E836" s="8" t="s">
        <v>160</v>
      </c>
      <c r="G836" s="8">
        <v>3754.0</v>
      </c>
      <c r="H836" s="8" t="s">
        <v>45</v>
      </c>
      <c r="K836" s="8" t="s">
        <v>124</v>
      </c>
      <c r="L836" s="8" t="s">
        <v>31</v>
      </c>
      <c r="M836" s="8" t="s">
        <v>34</v>
      </c>
      <c r="P836" s="9">
        <v>44120.0</v>
      </c>
      <c r="Q836" s="10">
        <v>0.04166666666424135</v>
      </c>
      <c r="R836" s="11" t="str">
        <f t="shared" si="1"/>
        <v>Проверка программы установщиков</v>
      </c>
      <c r="S836" s="16" t="str">
        <f>iferror(VLOOKUP(C836,'ФИО'!A:B,2,0),"учётный код не найден")</f>
        <v>Белоглазова Виктория Сергеевна</v>
      </c>
      <c r="T836" s="13" t="str">
        <f t="shared" si="2"/>
        <v>ПУ 910-00120.D - Печатный узел модуля 2CAN+LIN</v>
      </c>
      <c r="U836" s="8">
        <v>0.0</v>
      </c>
      <c r="V836" s="8">
        <v>0.0</v>
      </c>
      <c r="W836" s="17" t="str">
        <f t="shared" si="94"/>
        <v>Данные не заполены</v>
      </c>
      <c r="X836" s="14" t="str">
        <f t="shared" si="89"/>
        <v>Данные не заполены</v>
      </c>
      <c r="Y836" s="15">
        <f t="shared" si="90"/>
        <v>0</v>
      </c>
    </row>
    <row r="837" hidden="1">
      <c r="A837" s="7">
        <v>44113.81618084491</v>
      </c>
      <c r="B837" s="8" t="s">
        <v>26</v>
      </c>
      <c r="C837" s="8">
        <v>21803.0</v>
      </c>
      <c r="D837" s="8" t="s">
        <v>27</v>
      </c>
      <c r="E837" s="8" t="s">
        <v>68</v>
      </c>
      <c r="L837" s="8" t="s">
        <v>31</v>
      </c>
      <c r="M837" s="8" t="s">
        <v>34</v>
      </c>
      <c r="N837" s="8"/>
      <c r="O837" s="8"/>
      <c r="P837" s="9">
        <v>44113.0</v>
      </c>
      <c r="Q837" s="10">
        <v>0.04166666666424135</v>
      </c>
      <c r="R837" s="11" t="str">
        <f t="shared" si="1"/>
        <v>Прохождение обучения</v>
      </c>
      <c r="S837" s="16" t="str">
        <f>iferror(VLOOKUP(C837,'ФИО'!A:B,2,0),"учётный код не найден")</f>
        <v>Белоглазова Виктория Сергеевна</v>
      </c>
      <c r="T837" s="13" t="str">
        <f t="shared" si="2"/>
        <v/>
      </c>
      <c r="W837" s="21" t="str">
        <f t="shared" si="94"/>
        <v>Данные не заполены</v>
      </c>
      <c r="X837" s="15" t="str">
        <f t="shared" si="89"/>
        <v>Данные не заполены</v>
      </c>
      <c r="Y837" s="15">
        <f t="shared" si="90"/>
        <v>0</v>
      </c>
    </row>
    <row r="838" hidden="1">
      <c r="A838" s="7">
        <v>44120.82453012731</v>
      </c>
      <c r="B838" s="8" t="s">
        <v>26</v>
      </c>
      <c r="C838" s="8">
        <v>21803.0</v>
      </c>
      <c r="D838" s="8" t="s">
        <v>27</v>
      </c>
      <c r="E838" s="8" t="s">
        <v>68</v>
      </c>
      <c r="L838" s="8" t="s">
        <v>31</v>
      </c>
      <c r="M838" s="8" t="s">
        <v>34</v>
      </c>
      <c r="P838" s="9">
        <v>44120.0</v>
      </c>
      <c r="Q838" s="10">
        <v>0.08333333333575865</v>
      </c>
      <c r="R838" s="11" t="str">
        <f t="shared" si="1"/>
        <v>Прохождение обучения</v>
      </c>
      <c r="S838" s="16" t="str">
        <f>iferror(VLOOKUP(C838,'ФИО'!A:B,2,0),"учётный код не найден")</f>
        <v>Белоглазова Виктория Сергеевна</v>
      </c>
      <c r="T838" s="13" t="str">
        <f t="shared" si="2"/>
        <v/>
      </c>
      <c r="W838" s="17" t="str">
        <f t="shared" si="94"/>
        <v>Данные не заполены</v>
      </c>
      <c r="X838" s="14" t="str">
        <f t="shared" si="89"/>
        <v>Данные не заполены</v>
      </c>
      <c r="Y838" s="15">
        <f t="shared" si="90"/>
        <v>0</v>
      </c>
    </row>
    <row r="839" hidden="1">
      <c r="A839" s="7">
        <v>44109.32342597222</v>
      </c>
      <c r="B839" s="8" t="s">
        <v>38</v>
      </c>
      <c r="C839" s="8">
        <v>21752.0</v>
      </c>
      <c r="D839" s="8" t="s">
        <v>69</v>
      </c>
      <c r="F839" s="8" t="s">
        <v>81</v>
      </c>
      <c r="G839" s="8">
        <v>3579.0</v>
      </c>
      <c r="H839" s="8" t="s">
        <v>29</v>
      </c>
      <c r="I839" s="8" t="s">
        <v>42</v>
      </c>
      <c r="L839" s="8" t="s">
        <v>37</v>
      </c>
      <c r="P839" s="9">
        <v>44108.0</v>
      </c>
      <c r="Q839" s="10">
        <v>0.10416666666424135</v>
      </c>
      <c r="R839" s="11" t="str">
        <f t="shared" si="1"/>
        <v>Проверка на АОИ SEC</v>
      </c>
      <c r="S839" s="16" t="str">
        <f>iferror(VLOOKUP(C839,'ФИО'!A:B,2,0),"учётный код не найден")</f>
        <v>Егоров Александр Александрович</v>
      </c>
      <c r="T839" s="13" t="str">
        <f t="shared" si="2"/>
        <v>915-00070.A - Модуль телематики ТМ1 v3 (Сознательные машины)</v>
      </c>
      <c r="U839" s="8">
        <v>138.0</v>
      </c>
      <c r="V839" s="8">
        <v>0.0</v>
      </c>
      <c r="W839" s="21" t="str">
        <f t="shared" si="94"/>
        <v>Данные не заполены</v>
      </c>
      <c r="X839" s="15" t="str">
        <f t="shared" si="89"/>
        <v>Данные не заполены</v>
      </c>
      <c r="Y839" s="15">
        <f t="shared" si="90"/>
        <v>0</v>
      </c>
    </row>
    <row r="840" hidden="1">
      <c r="A840" s="7">
        <v>44116.32742631945</v>
      </c>
      <c r="B840" s="8" t="s">
        <v>38</v>
      </c>
      <c r="C840" s="8">
        <v>21752.0</v>
      </c>
      <c r="D840" s="8" t="s">
        <v>27</v>
      </c>
      <c r="E840" s="8" t="s">
        <v>97</v>
      </c>
      <c r="G840" s="8">
        <v>3750.0</v>
      </c>
      <c r="H840" s="8" t="s">
        <v>45</v>
      </c>
      <c r="K840" s="8" t="s">
        <v>46</v>
      </c>
      <c r="L840" s="8" t="s">
        <v>37</v>
      </c>
      <c r="P840" s="9">
        <v>44115.0</v>
      </c>
      <c r="Q840" s="10">
        <v>0.08333333333575865</v>
      </c>
      <c r="R840" s="11" t="str">
        <f t="shared" si="1"/>
        <v>Проверка плат на АОИ Prim</v>
      </c>
      <c r="S840" s="16" t="str">
        <f>iferror(VLOOKUP(C840,'ФИО'!A:B,2,0),"учётный код не найден")</f>
        <v>Егоров Александр Александрович</v>
      </c>
      <c r="T840" s="13" t="str">
        <f t="shared" si="2"/>
        <v>ПУ 910-00349.A "Печатный узел основного блока E96 4LIN"</v>
      </c>
      <c r="U840" s="8">
        <v>0.0</v>
      </c>
      <c r="V840" s="8">
        <v>0.0</v>
      </c>
      <c r="W840" s="21" t="str">
        <f t="shared" si="94"/>
        <v>Данные не заполены</v>
      </c>
      <c r="X840" s="15" t="str">
        <f t="shared" si="89"/>
        <v>Данные не заполены</v>
      </c>
      <c r="Y840" s="15">
        <f t="shared" si="90"/>
        <v>0</v>
      </c>
    </row>
    <row r="841" hidden="1">
      <c r="A841" s="7">
        <v>44128.82470092592</v>
      </c>
      <c r="B841" s="8" t="s">
        <v>26</v>
      </c>
      <c r="C841" s="8">
        <v>21752.0</v>
      </c>
      <c r="D841" s="8" t="s">
        <v>27</v>
      </c>
      <c r="E841" s="8" t="s">
        <v>97</v>
      </c>
      <c r="G841" s="8">
        <v>3253.0</v>
      </c>
      <c r="H841" s="8" t="s">
        <v>29</v>
      </c>
      <c r="I841" s="8" t="s">
        <v>95</v>
      </c>
      <c r="L841" s="8" t="s">
        <v>37</v>
      </c>
      <c r="P841" s="9">
        <v>44128.0</v>
      </c>
      <c r="Q841" s="10">
        <v>0.0625</v>
      </c>
      <c r="R841" s="11" t="str">
        <f t="shared" si="1"/>
        <v>Проверка плат на АОИ Prim</v>
      </c>
      <c r="S841" s="16" t="str">
        <f>iferror(VLOOKUP(C841,'ФИО'!A:B,2,0),"учётный код не найден")</f>
        <v>Егоров Александр Александрович</v>
      </c>
      <c r="T841" s="13" t="str">
        <f t="shared" si="2"/>
        <v>915-00095.A - ПКД-8В-1 АСЛБ.467249.108 (Квант)</v>
      </c>
      <c r="U841" s="8">
        <v>0.0</v>
      </c>
      <c r="V841" s="8">
        <v>36.0</v>
      </c>
      <c r="X841" s="14" t="str">
        <f t="shared" si="89"/>
        <v>Данные не заполены</v>
      </c>
      <c r="Y841" s="15">
        <f t="shared" si="90"/>
        <v>36</v>
      </c>
      <c r="Z841" s="8" t="s">
        <v>219</v>
      </c>
    </row>
    <row r="842" hidden="1">
      <c r="A842" s="7">
        <v>44129.82816789352</v>
      </c>
      <c r="B842" s="8" t="s">
        <v>26</v>
      </c>
      <c r="C842" s="8">
        <v>21752.0</v>
      </c>
      <c r="D842" s="8" t="s">
        <v>27</v>
      </c>
      <c r="E842" s="8" t="s">
        <v>100</v>
      </c>
      <c r="G842" s="8">
        <v>3804.0</v>
      </c>
      <c r="H842" s="8" t="s">
        <v>45</v>
      </c>
      <c r="K842" s="8" t="s">
        <v>52</v>
      </c>
      <c r="L842" s="8" t="s">
        <v>37</v>
      </c>
      <c r="P842" s="9">
        <v>44129.0</v>
      </c>
      <c r="Q842" s="10">
        <v>0.20833333333575865</v>
      </c>
      <c r="R842" s="11" t="str">
        <f t="shared" si="1"/>
        <v>Проверка плат на АОИ Sec</v>
      </c>
      <c r="S842" s="12" t="str">
        <f>iferror(VLOOKUP(C842,'ФИО'!A:B,2,0),"учётный код не найден")</f>
        <v>Егоров Александр Александрович</v>
      </c>
      <c r="T842" s="13" t="str">
        <f t="shared" si="2"/>
        <v>М17V2 (900-00018.D)_910-00023.H и ПУ 910-00012.I</v>
      </c>
      <c r="U842" s="8">
        <v>297.0</v>
      </c>
      <c r="V842" s="8">
        <v>605.0</v>
      </c>
      <c r="X842" s="14" t="str">
        <f t="shared" si="89"/>
        <v>Данные не заполены</v>
      </c>
      <c r="Y842" s="15">
        <f t="shared" si="90"/>
        <v>2.037037037</v>
      </c>
      <c r="Z842" s="8" t="s">
        <v>220</v>
      </c>
    </row>
    <row r="843" hidden="1">
      <c r="A843" s="7">
        <v>44135.8255747338</v>
      </c>
      <c r="B843" s="8" t="s">
        <v>89</v>
      </c>
      <c r="C843" s="8">
        <v>20015.0</v>
      </c>
      <c r="D843" s="8" t="s">
        <v>27</v>
      </c>
      <c r="E843" s="8" t="s">
        <v>82</v>
      </c>
      <c r="G843" s="8">
        <v>3778.0</v>
      </c>
      <c r="H843" s="8" t="s">
        <v>45</v>
      </c>
      <c r="K843" s="8" t="s">
        <v>46</v>
      </c>
      <c r="L843" s="8" t="s">
        <v>31</v>
      </c>
      <c r="M843" s="8" t="s">
        <v>34</v>
      </c>
      <c r="P843" s="9">
        <v>44135.0</v>
      </c>
      <c r="Q843" s="10">
        <v>0.020833333335758653</v>
      </c>
      <c r="R843" s="11" t="str">
        <f t="shared" si="1"/>
        <v>Настройка установщиков</v>
      </c>
      <c r="S843" s="16" t="str">
        <f>iferror(VLOOKUP(C843,'ФИО'!A:B,2,0),"учётный код не найден")</f>
        <v>Ельцов Андрей Николаевич</v>
      </c>
      <c r="T843" s="13" t="str">
        <f t="shared" si="2"/>
        <v>ПУ 910-00349.A "Печатный узел основного блока E96 4LIN"</v>
      </c>
      <c r="U843" s="8">
        <v>0.0</v>
      </c>
      <c r="V843" s="8">
        <v>0.0</v>
      </c>
      <c r="W843" s="17" t="str">
        <f t="shared" ref="W843:W855" si="95">IFERROR((((38412/(ifs(O843&lt;35,35,O843&gt;34,O843)/N843)*0.7))),"Данные не заполены")</f>
        <v>Данные не заполены</v>
      </c>
      <c r="X843" s="14" t="str">
        <f t="shared" si="89"/>
        <v>Данные не заполены</v>
      </c>
      <c r="Y843" s="15">
        <f t="shared" si="90"/>
        <v>0</v>
      </c>
    </row>
    <row r="844" hidden="1">
      <c r="A844" s="7">
        <v>44119.507412708335</v>
      </c>
      <c r="B844" s="8" t="s">
        <v>89</v>
      </c>
      <c r="C844" s="8">
        <v>20015.0</v>
      </c>
      <c r="D844" s="8" t="s">
        <v>69</v>
      </c>
      <c r="F844" s="8" t="s">
        <v>221</v>
      </c>
      <c r="G844" s="8">
        <v>2958.0</v>
      </c>
      <c r="H844" s="8" t="s">
        <v>29</v>
      </c>
      <c r="I844" s="8" t="s">
        <v>212</v>
      </c>
      <c r="L844" s="8" t="s">
        <v>31</v>
      </c>
      <c r="M844" s="8" t="s">
        <v>34</v>
      </c>
      <c r="P844" s="9">
        <v>44119.0</v>
      </c>
      <c r="Q844" s="10">
        <v>0.020833333335758653</v>
      </c>
      <c r="R844" s="11" t="str">
        <f t="shared" si="1"/>
        <v>Настройка MODUS</v>
      </c>
      <c r="S844" s="16" t="str">
        <f>iferror(VLOOKUP(C844,'ФИО'!A:B,2,0),"учётный код не найден")</f>
        <v>Ельцов Андрей Николаевич</v>
      </c>
      <c r="T844" s="13" t="str">
        <f t="shared" si="2"/>
        <v>КТ-500 (Производственный Альянс)</v>
      </c>
      <c r="U844" s="8">
        <v>0.0</v>
      </c>
      <c r="V844" s="8">
        <v>0.0</v>
      </c>
      <c r="W844" s="17" t="str">
        <f t="shared" si="95"/>
        <v>Данные не заполены</v>
      </c>
      <c r="X844" s="14" t="str">
        <f t="shared" si="89"/>
        <v>Данные не заполены</v>
      </c>
      <c r="Y844" s="15">
        <f t="shared" si="90"/>
        <v>0</v>
      </c>
    </row>
    <row r="845" hidden="1">
      <c r="A845" s="7">
        <v>44127.804357835645</v>
      </c>
      <c r="B845" s="8" t="s">
        <v>89</v>
      </c>
      <c r="C845" s="8">
        <v>20015.0</v>
      </c>
      <c r="D845" s="8" t="s">
        <v>69</v>
      </c>
      <c r="F845" s="8" t="s">
        <v>221</v>
      </c>
      <c r="G845" s="8">
        <v>3252.0</v>
      </c>
      <c r="H845" s="8" t="s">
        <v>29</v>
      </c>
      <c r="I845" s="8" t="s">
        <v>96</v>
      </c>
      <c r="L845" s="8" t="s">
        <v>31</v>
      </c>
      <c r="M845" s="8" t="s">
        <v>34</v>
      </c>
      <c r="P845" s="9">
        <v>44127.0</v>
      </c>
      <c r="Q845" s="10">
        <v>0.020833333335758653</v>
      </c>
      <c r="R845" s="11" t="str">
        <f t="shared" si="1"/>
        <v>Настройка MODUS</v>
      </c>
      <c r="S845" s="16" t="str">
        <f>iferror(VLOOKUP(C845,'ФИО'!A:B,2,0),"учётный код не найден")</f>
        <v>Ельцов Андрей Николаевич</v>
      </c>
      <c r="T845" s="13" t="str">
        <f t="shared" si="2"/>
        <v>915-00096.A - ПКД-8В-2 АСЛБ.467249.109</v>
      </c>
      <c r="U845" s="8">
        <v>0.0</v>
      </c>
      <c r="V845" s="8">
        <v>0.0</v>
      </c>
      <c r="W845" s="17" t="str">
        <f t="shared" si="95"/>
        <v>Данные не заполены</v>
      </c>
      <c r="X845" s="14" t="str">
        <f t="shared" si="89"/>
        <v>Данные не заполены</v>
      </c>
      <c r="Y845" s="15">
        <f t="shared" si="90"/>
        <v>0</v>
      </c>
    </row>
    <row r="846" hidden="1">
      <c r="A846" s="7">
        <v>44117.81954302083</v>
      </c>
      <c r="B846" s="8" t="s">
        <v>127</v>
      </c>
      <c r="C846" s="8">
        <v>22574.0</v>
      </c>
      <c r="D846" s="8" t="s">
        <v>27</v>
      </c>
      <c r="E846" s="8" t="s">
        <v>66</v>
      </c>
      <c r="G846" s="8">
        <v>3622.0</v>
      </c>
      <c r="H846" s="8" t="s">
        <v>29</v>
      </c>
      <c r="I846" s="8" t="s">
        <v>90</v>
      </c>
      <c r="L846" s="8" t="s">
        <v>37</v>
      </c>
      <c r="P846" s="9">
        <v>44117.0</v>
      </c>
      <c r="Q846" s="10">
        <v>0.041666666666666664</v>
      </c>
      <c r="R846" s="11" t="str">
        <f t="shared" si="1"/>
        <v>Проверка первой платы до оплавления</v>
      </c>
      <c r="S846" s="16" t="str">
        <f>iferror(VLOOKUP(C846,'ФИО'!A:B,2,0),"учётный код не найден")</f>
        <v>Шапенков Геннадий Михайлович</v>
      </c>
      <c r="T846" s="11" t="str">
        <f t="shared" si="2"/>
        <v>915-00124.A - Tioga Pass_v1.1 (Гагар.ин)</v>
      </c>
      <c r="U846" s="8">
        <v>0.0</v>
      </c>
      <c r="V846" s="8">
        <v>0.0</v>
      </c>
      <c r="W846" s="17" t="str">
        <f t="shared" si="95"/>
        <v>Данные не заполены</v>
      </c>
      <c r="X846" s="14" t="str">
        <f t="shared" si="89"/>
        <v>Данные не заполены</v>
      </c>
      <c r="Y846" s="15">
        <f t="shared" si="90"/>
        <v>0</v>
      </c>
    </row>
    <row r="847" hidden="1">
      <c r="A847" s="7">
        <v>44119.45037491898</v>
      </c>
      <c r="B847" s="8" t="s">
        <v>89</v>
      </c>
      <c r="C847" s="8">
        <v>20015.0</v>
      </c>
      <c r="D847" s="8" t="s">
        <v>69</v>
      </c>
      <c r="F847" s="8" t="s">
        <v>106</v>
      </c>
      <c r="G847" s="8">
        <v>3238.0</v>
      </c>
      <c r="H847" s="8" t="s">
        <v>29</v>
      </c>
      <c r="I847" s="8" t="s">
        <v>43</v>
      </c>
      <c r="L847" s="8" t="s">
        <v>31</v>
      </c>
      <c r="M847" s="8" t="s">
        <v>34</v>
      </c>
      <c r="P847" s="9">
        <v>44119.0</v>
      </c>
      <c r="Q847" s="10">
        <v>0.08333333333575865</v>
      </c>
      <c r="R847" s="11" t="str">
        <f t="shared" si="1"/>
        <v>Настройка SEHO PRI</v>
      </c>
      <c r="S847" s="16" t="str">
        <f>iferror(VLOOKUP(C847,'ФИО'!A:B,2,0),"учётный код не найден")</f>
        <v>Ельцов Андрей Николаевич</v>
      </c>
      <c r="T847" s="13" t="str">
        <f t="shared" si="2"/>
        <v>915-00097.A - ПКД-8В-3 АСЛБ.467249.110 (Квант)</v>
      </c>
      <c r="U847" s="8">
        <v>0.0</v>
      </c>
      <c r="V847" s="8">
        <v>0.0</v>
      </c>
      <c r="W847" s="17" t="str">
        <f t="shared" si="95"/>
        <v>Данные не заполены</v>
      </c>
      <c r="X847" s="14" t="str">
        <f t="shared" si="89"/>
        <v>Данные не заполены</v>
      </c>
      <c r="Y847" s="15">
        <f t="shared" si="90"/>
        <v>0</v>
      </c>
    </row>
    <row r="848" hidden="1">
      <c r="A848" s="7">
        <v>44119.742207372685</v>
      </c>
      <c r="B848" s="8" t="s">
        <v>89</v>
      </c>
      <c r="C848" s="8">
        <v>20015.0</v>
      </c>
      <c r="D848" s="8" t="s">
        <v>69</v>
      </c>
      <c r="F848" s="8" t="s">
        <v>106</v>
      </c>
      <c r="G848" s="8">
        <v>3750.0</v>
      </c>
      <c r="H848" s="8" t="s">
        <v>45</v>
      </c>
      <c r="K848" s="8" t="s">
        <v>46</v>
      </c>
      <c r="L848" s="8" t="s">
        <v>31</v>
      </c>
      <c r="M848" s="8" t="s">
        <v>34</v>
      </c>
      <c r="P848" s="9">
        <v>44119.0</v>
      </c>
      <c r="Q848" s="10">
        <v>0.020833333335758653</v>
      </c>
      <c r="R848" s="11" t="str">
        <f t="shared" si="1"/>
        <v>Настройка SEHO PRI</v>
      </c>
      <c r="S848" s="16" t="str">
        <f>iferror(VLOOKUP(C848,'ФИО'!A:B,2,0),"учётный код не найден")</f>
        <v>Ельцов Андрей Николаевич</v>
      </c>
      <c r="T848" s="13" t="str">
        <f t="shared" si="2"/>
        <v>ПУ 910-00349.A "Печатный узел основного блока E96 4LIN"</v>
      </c>
      <c r="U848" s="8">
        <v>0.0</v>
      </c>
      <c r="V848" s="8">
        <v>0.0</v>
      </c>
      <c r="W848" s="17" t="str">
        <f t="shared" si="95"/>
        <v>Данные не заполены</v>
      </c>
      <c r="X848" s="14" t="str">
        <f t="shared" si="89"/>
        <v>Данные не заполены</v>
      </c>
      <c r="Y848" s="15">
        <f t="shared" si="90"/>
        <v>0</v>
      </c>
    </row>
    <row r="849" hidden="1">
      <c r="A849" s="7">
        <v>44120.66399271991</v>
      </c>
      <c r="B849" s="8" t="s">
        <v>26</v>
      </c>
      <c r="C849" s="8">
        <v>20015.0</v>
      </c>
      <c r="D849" s="8" t="s">
        <v>69</v>
      </c>
      <c r="F849" s="8" t="s">
        <v>106</v>
      </c>
      <c r="G849" s="8">
        <v>3234.0</v>
      </c>
      <c r="H849" s="8" t="s">
        <v>29</v>
      </c>
      <c r="I849" s="8" t="s">
        <v>135</v>
      </c>
      <c r="L849" s="8" t="s">
        <v>31</v>
      </c>
      <c r="M849" s="8" t="s">
        <v>34</v>
      </c>
      <c r="P849" s="9">
        <v>44120.0</v>
      </c>
      <c r="Q849" s="10">
        <v>0.020833333335758653</v>
      </c>
      <c r="R849" s="11" t="str">
        <f t="shared" si="1"/>
        <v>Настройка SEHO PRI</v>
      </c>
      <c r="S849" s="16" t="str">
        <f>iferror(VLOOKUP(C849,'ФИО'!A:B,2,0),"учётный код не найден")</f>
        <v>Ельцов Андрей Николаевич</v>
      </c>
      <c r="T849" s="13" t="str">
        <f t="shared" si="2"/>
        <v>915-00101.A - ПКД-9В АСЛБ.467249.107 (Квант)</v>
      </c>
      <c r="U849" s="8">
        <v>0.0</v>
      </c>
      <c r="V849" s="8">
        <v>0.0</v>
      </c>
      <c r="W849" s="17" t="str">
        <f t="shared" si="95"/>
        <v>Данные не заполены</v>
      </c>
      <c r="X849" s="14" t="str">
        <f t="shared" si="89"/>
        <v>Данные не заполены</v>
      </c>
      <c r="Y849" s="15">
        <f t="shared" si="90"/>
        <v>0</v>
      </c>
    </row>
    <row r="850" hidden="1">
      <c r="A850" s="7">
        <v>44120.660148854164</v>
      </c>
      <c r="B850" s="8" t="s">
        <v>26</v>
      </c>
      <c r="C850" s="8">
        <v>20015.0</v>
      </c>
      <c r="D850" s="8" t="s">
        <v>69</v>
      </c>
      <c r="F850" s="8" t="s">
        <v>106</v>
      </c>
      <c r="G850" s="8">
        <v>3750.0</v>
      </c>
      <c r="H850" s="8" t="s">
        <v>45</v>
      </c>
      <c r="K850" s="8" t="s">
        <v>46</v>
      </c>
      <c r="L850" s="8" t="s">
        <v>31</v>
      </c>
      <c r="M850" s="8" t="s">
        <v>34</v>
      </c>
      <c r="P850" s="9">
        <v>44120.0</v>
      </c>
      <c r="Q850" s="10">
        <v>0.020833333335758653</v>
      </c>
      <c r="R850" s="11" t="str">
        <f t="shared" si="1"/>
        <v>Настройка SEHO PRI</v>
      </c>
      <c r="S850" s="16" t="str">
        <f>iferror(VLOOKUP(C850,'ФИО'!A:B,2,0),"учётный код не найден")</f>
        <v>Ельцов Андрей Николаевич</v>
      </c>
      <c r="T850" s="13" t="str">
        <f t="shared" si="2"/>
        <v>ПУ 910-00349.A "Печатный узел основного блока E96 4LIN"</v>
      </c>
      <c r="U850" s="8">
        <v>0.0</v>
      </c>
      <c r="V850" s="8">
        <v>0.0</v>
      </c>
      <c r="W850" s="17" t="str">
        <f t="shared" si="95"/>
        <v>Данные не заполены</v>
      </c>
      <c r="X850" s="14" t="str">
        <f t="shared" si="89"/>
        <v>Данные не заполены</v>
      </c>
      <c r="Y850" s="15">
        <f t="shared" si="90"/>
        <v>0</v>
      </c>
    </row>
    <row r="851" hidden="1">
      <c r="A851" s="7">
        <v>44119.621805891205</v>
      </c>
      <c r="B851" s="8" t="s">
        <v>89</v>
      </c>
      <c r="C851" s="8">
        <v>20015.0</v>
      </c>
      <c r="D851" s="8" t="s">
        <v>69</v>
      </c>
      <c r="F851" s="8" t="s">
        <v>79</v>
      </c>
      <c r="G851" s="8">
        <v>3234.0</v>
      </c>
      <c r="H851" s="8" t="s">
        <v>29</v>
      </c>
      <c r="I851" s="8" t="s">
        <v>135</v>
      </c>
      <c r="L851" s="8" t="s">
        <v>31</v>
      </c>
      <c r="M851" s="8" t="s">
        <v>34</v>
      </c>
      <c r="P851" s="9">
        <v>44119.0</v>
      </c>
      <c r="Q851" s="10">
        <v>0.04166666666424135</v>
      </c>
      <c r="R851" s="11" t="str">
        <f t="shared" si="1"/>
        <v>Настройка SEHO SEC</v>
      </c>
      <c r="S851" s="16" t="str">
        <f>iferror(VLOOKUP(C851,'ФИО'!A:B,2,0),"учётный код не найден")</f>
        <v>Ельцов Андрей Николаевич</v>
      </c>
      <c r="T851" s="13" t="str">
        <f t="shared" si="2"/>
        <v>915-00101.A - ПКД-9В АСЛБ.467249.107 (Квант)</v>
      </c>
      <c r="U851" s="8">
        <v>0.0</v>
      </c>
      <c r="V851" s="8">
        <v>0.0</v>
      </c>
      <c r="W851" s="17" t="str">
        <f t="shared" si="95"/>
        <v>Данные не заполены</v>
      </c>
      <c r="X851" s="14" t="str">
        <f t="shared" si="89"/>
        <v>Данные не заполены</v>
      </c>
      <c r="Y851" s="15">
        <f t="shared" si="90"/>
        <v>0</v>
      </c>
    </row>
    <row r="852" hidden="1">
      <c r="A852" s="7">
        <v>44120.66177734954</v>
      </c>
      <c r="B852" s="8" t="s">
        <v>26</v>
      </c>
      <c r="C852" s="8">
        <v>20015.0</v>
      </c>
      <c r="D852" s="8" t="s">
        <v>69</v>
      </c>
      <c r="F852" s="8" t="s">
        <v>79</v>
      </c>
      <c r="G852" s="8">
        <v>3233.0</v>
      </c>
      <c r="H852" s="8" t="s">
        <v>29</v>
      </c>
      <c r="I852" s="8" t="s">
        <v>60</v>
      </c>
      <c r="L852" s="8" t="s">
        <v>31</v>
      </c>
      <c r="M852" s="8" t="s">
        <v>34</v>
      </c>
      <c r="P852" s="9">
        <v>44120.0</v>
      </c>
      <c r="Q852" s="10">
        <v>0.020833333335758653</v>
      </c>
      <c r="R852" s="11" t="str">
        <f t="shared" si="1"/>
        <v>Настройка SEHO SEC</v>
      </c>
      <c r="S852" s="16" t="str">
        <f>iferror(VLOOKUP(C852,'ФИО'!A:B,2,0),"учётный код не найден")</f>
        <v>Ельцов Андрей Николаевич</v>
      </c>
      <c r="T852" s="13" t="str">
        <f t="shared" si="2"/>
        <v>915-00102.A - ПБОК-2В АСЛБ.465285.013 (Квант)</v>
      </c>
      <c r="U852" s="8">
        <v>0.0</v>
      </c>
      <c r="V852" s="8">
        <v>0.0</v>
      </c>
      <c r="W852" s="17" t="str">
        <f t="shared" si="95"/>
        <v>Данные не заполены</v>
      </c>
      <c r="X852" s="14" t="str">
        <f t="shared" si="89"/>
        <v>Данные не заполены</v>
      </c>
      <c r="Y852" s="15">
        <f t="shared" si="90"/>
        <v>0</v>
      </c>
    </row>
    <row r="853" hidden="1">
      <c r="A853" s="7">
        <v>44120.65953186342</v>
      </c>
      <c r="B853" s="8" t="s">
        <v>26</v>
      </c>
      <c r="C853" s="8">
        <v>20015.0</v>
      </c>
      <c r="D853" s="8" t="s">
        <v>69</v>
      </c>
      <c r="F853" s="8" t="s">
        <v>79</v>
      </c>
      <c r="G853" s="8">
        <v>2796.0</v>
      </c>
      <c r="H853" s="8" t="s">
        <v>29</v>
      </c>
      <c r="I853" s="8" t="s">
        <v>183</v>
      </c>
      <c r="L853" s="8" t="s">
        <v>31</v>
      </c>
      <c r="M853" s="8" t="s">
        <v>34</v>
      </c>
      <c r="P853" s="9">
        <v>44120.0</v>
      </c>
      <c r="Q853" s="10">
        <v>0.020833333335758653</v>
      </c>
      <c r="R853" s="11" t="str">
        <f t="shared" si="1"/>
        <v>Настройка SEHO SEC</v>
      </c>
      <c r="S853" s="16" t="str">
        <f>iferror(VLOOKUP(C853,'ФИО'!A:B,2,0),"учётный код не найден")</f>
        <v>Ельцов Андрей Николаевич</v>
      </c>
      <c r="T853" s="13" t="str">
        <f t="shared" si="2"/>
        <v>IKZ_35_v1_1-ANALOG (Антракс)</v>
      </c>
      <c r="U853" s="8">
        <v>0.0</v>
      </c>
      <c r="V853" s="8">
        <v>0.0</v>
      </c>
      <c r="W853" s="17" t="str">
        <f t="shared" si="95"/>
        <v>Данные не заполены</v>
      </c>
      <c r="X853" s="14" t="str">
        <f t="shared" si="89"/>
        <v>Данные не заполены</v>
      </c>
      <c r="Y853" s="15">
        <f t="shared" si="90"/>
        <v>0</v>
      </c>
    </row>
    <row r="854" hidden="1">
      <c r="A854" s="7">
        <v>44113.81921674768</v>
      </c>
      <c r="B854" s="8" t="s">
        <v>26</v>
      </c>
      <c r="C854" s="8">
        <v>21522.0</v>
      </c>
      <c r="D854" s="8" t="s">
        <v>69</v>
      </c>
      <c r="F854" s="8" t="s">
        <v>72</v>
      </c>
      <c r="G854" s="8">
        <v>3580.0</v>
      </c>
      <c r="H854" s="8" t="s">
        <v>29</v>
      </c>
      <c r="I854" s="8" t="s">
        <v>145</v>
      </c>
      <c r="L854" s="8" t="s">
        <v>37</v>
      </c>
      <c r="P854" s="9">
        <v>44113.0</v>
      </c>
      <c r="Q854" s="10">
        <v>0.03125</v>
      </c>
      <c r="R854" s="11" t="str">
        <f t="shared" si="1"/>
        <v>Пайка компонентов PRI</v>
      </c>
      <c r="S854" s="16" t="str">
        <f>iferror(VLOOKUP(C854,'ФИО'!A:B,2,0),"учётный код не найден")</f>
        <v>Исаев Никита Дмитриевич</v>
      </c>
      <c r="T854" s="13" t="str">
        <f t="shared" si="2"/>
        <v>XR (OÜ KLARBERG)</v>
      </c>
      <c r="U854" s="8">
        <v>0.0</v>
      </c>
      <c r="V854" s="8">
        <v>0.0</v>
      </c>
      <c r="W854" s="21" t="str">
        <f t="shared" si="95"/>
        <v>Данные не заполены</v>
      </c>
      <c r="X854" s="15" t="str">
        <f t="shared" si="89"/>
        <v>Данные не заполены</v>
      </c>
      <c r="Y854" s="15">
        <f t="shared" si="90"/>
        <v>0</v>
      </c>
    </row>
    <row r="855" hidden="1">
      <c r="A855" s="7">
        <v>44108.33005503472</v>
      </c>
      <c r="B855" s="8" t="s">
        <v>38</v>
      </c>
      <c r="C855" s="8">
        <v>21522.0</v>
      </c>
      <c r="D855" s="8" t="s">
        <v>69</v>
      </c>
      <c r="F855" s="8" t="s">
        <v>80</v>
      </c>
      <c r="G855" s="8">
        <v>3047.0</v>
      </c>
      <c r="H855" s="8" t="s">
        <v>29</v>
      </c>
      <c r="I855" s="8" t="s">
        <v>77</v>
      </c>
      <c r="L855" s="8" t="s">
        <v>37</v>
      </c>
      <c r="P855" s="9">
        <v>44107.0</v>
      </c>
      <c r="Q855" s="10">
        <v>0.04166666666424135</v>
      </c>
      <c r="R855" s="11" t="str">
        <f t="shared" si="1"/>
        <v>Пайка компонентов SEC</v>
      </c>
      <c r="S855" s="16" t="str">
        <f>iferror(VLOOKUP(C855,'ФИО'!A:B,2,0),"учётный код не найден")</f>
        <v>Исаев Никита Дмитриевич</v>
      </c>
      <c r="T855" s="13" t="str">
        <f t="shared" si="2"/>
        <v>915-00081.A-Модуль Трик8 (Кибертех)</v>
      </c>
      <c r="U855" s="8">
        <v>0.0</v>
      </c>
      <c r="V855" s="8">
        <v>0.0</v>
      </c>
      <c r="W855" s="21" t="str">
        <f t="shared" si="95"/>
        <v>Данные не заполены</v>
      </c>
      <c r="X855" s="15" t="str">
        <f t="shared" si="89"/>
        <v>Данные не заполены</v>
      </c>
      <c r="Y855" s="15">
        <f t="shared" si="90"/>
        <v>0</v>
      </c>
    </row>
    <row r="856" hidden="1">
      <c r="A856" s="7">
        <v>44133.31600416667</v>
      </c>
      <c r="B856" s="8" t="s">
        <v>38</v>
      </c>
      <c r="C856" s="8">
        <v>21522.0</v>
      </c>
      <c r="D856" s="8" t="s">
        <v>27</v>
      </c>
      <c r="E856" s="8" t="s">
        <v>182</v>
      </c>
      <c r="G856" s="8">
        <v>3621.0</v>
      </c>
      <c r="H856" s="8" t="s">
        <v>29</v>
      </c>
      <c r="I856" s="8" t="s">
        <v>54</v>
      </c>
      <c r="L856" s="8" t="s">
        <v>31</v>
      </c>
      <c r="M856" s="8" t="s">
        <v>34</v>
      </c>
      <c r="P856" s="9">
        <v>44132.0</v>
      </c>
      <c r="Q856" s="10">
        <v>0.20833333333575865</v>
      </c>
      <c r="R856" s="11" t="str">
        <f t="shared" si="1"/>
        <v>Подготовка компонентов к зарядке</v>
      </c>
      <c r="S856" s="12" t="str">
        <f>iferror(VLOOKUP(C856,'ФИО'!A:B,2,0),"учётный код не найден")</f>
        <v>Исаев Никита Дмитриевич</v>
      </c>
      <c r="T856" s="13" t="str">
        <f t="shared" si="2"/>
        <v>915-00121.A - Процессорный модуль РСЕН.469555.027 (КНС Групп)</v>
      </c>
      <c r="U856" s="8">
        <v>86.0</v>
      </c>
      <c r="V856" s="8">
        <v>0.0</v>
      </c>
      <c r="X856" s="14" t="str">
        <f t="shared" si="89"/>
        <v>Данные не заполены</v>
      </c>
      <c r="Y856" s="15">
        <f t="shared" si="90"/>
        <v>0</v>
      </c>
    </row>
    <row r="857" hidden="1">
      <c r="A857" s="7">
        <v>44105.8305563426</v>
      </c>
      <c r="B857" s="8" t="s">
        <v>26</v>
      </c>
      <c r="C857" s="8">
        <v>21522.0</v>
      </c>
      <c r="D857" s="18" t="s">
        <v>69</v>
      </c>
      <c r="F857" s="8" t="s">
        <v>185</v>
      </c>
      <c r="G857" s="18">
        <v>3370.0</v>
      </c>
      <c r="H857" s="8" t="s">
        <v>29</v>
      </c>
      <c r="I857" s="8" t="s">
        <v>73</v>
      </c>
      <c r="L857" s="18" t="s">
        <v>37</v>
      </c>
      <c r="P857" s="19">
        <v>44105.0</v>
      </c>
      <c r="Q857" s="20">
        <v>0.020833333335758653</v>
      </c>
      <c r="R857" s="13" t="str">
        <f t="shared" si="1"/>
        <v>Подготовка компонентов к пайке</v>
      </c>
      <c r="S857" s="16" t="str">
        <f>iferror(VLOOKUP(C857,'ФИО'!A:B,2,0),"учётный код не найден")</f>
        <v>Исаев Никита Дмитриевич</v>
      </c>
      <c r="T857" s="13" t="str">
        <f t="shared" si="2"/>
        <v>915-00114.A - ПБЭС-37П АСЛБ.467291.010-01 (Квант)</v>
      </c>
      <c r="U857" s="8">
        <v>27.0</v>
      </c>
      <c r="V857" s="8">
        <v>0.0</v>
      </c>
      <c r="W857" s="21" t="str">
        <f>IFERROR((((38412/(ifs(O857&lt;35,35,O857&gt;34,O857)/N857)*0.7))),"Данные не заполены")</f>
        <v>Данные не заполены</v>
      </c>
      <c r="X857" s="15" t="str">
        <f t="shared" si="89"/>
        <v>Данные не заполены</v>
      </c>
      <c r="Y857" s="15">
        <f t="shared" si="90"/>
        <v>0</v>
      </c>
    </row>
    <row r="858" hidden="1">
      <c r="A858" s="7">
        <v>44132.315505590275</v>
      </c>
      <c r="B858" s="8" t="s">
        <v>38</v>
      </c>
      <c r="C858" s="8">
        <v>21522.0</v>
      </c>
      <c r="D858" s="8" t="s">
        <v>27</v>
      </c>
      <c r="E858" s="8" t="s">
        <v>86</v>
      </c>
      <c r="L858" s="8" t="s">
        <v>31</v>
      </c>
      <c r="M858" s="8" t="s">
        <v>34</v>
      </c>
      <c r="P858" s="9">
        <v>44131.0</v>
      </c>
      <c r="Q858" s="10">
        <v>0.010416666664241347</v>
      </c>
      <c r="R858" s="11" t="str">
        <f t="shared" si="1"/>
        <v>Проведение обучения</v>
      </c>
      <c r="S858" s="12" t="str">
        <f>iferror(VLOOKUP(C858,'ФИО'!A:B,2,0),"учётный код не найден")</f>
        <v>Исаев Никита Дмитриевич</v>
      </c>
      <c r="T858" s="13" t="str">
        <f t="shared" si="2"/>
        <v/>
      </c>
      <c r="X858" s="14" t="str">
        <f t="shared" si="89"/>
        <v>Данные не заполены</v>
      </c>
      <c r="Y858" s="15">
        <f t="shared" si="90"/>
        <v>0</v>
      </c>
    </row>
    <row r="859" hidden="1">
      <c r="A859" s="7">
        <v>44113.84016489583</v>
      </c>
      <c r="B859" s="8" t="s">
        <v>26</v>
      </c>
      <c r="C859" s="8">
        <v>20751.0</v>
      </c>
      <c r="D859" s="8" t="s">
        <v>27</v>
      </c>
      <c r="E859" s="8" t="s">
        <v>86</v>
      </c>
      <c r="L859" s="8" t="s">
        <v>31</v>
      </c>
      <c r="M859" s="8" t="s">
        <v>34</v>
      </c>
      <c r="N859" s="8"/>
      <c r="O859" s="8"/>
      <c r="P859" s="9">
        <v>44113.0</v>
      </c>
      <c r="Q859" s="10">
        <v>0.04166666666424135</v>
      </c>
      <c r="R859" s="11" t="str">
        <f t="shared" si="1"/>
        <v>Проведение обучения</v>
      </c>
      <c r="S859" s="16" t="str">
        <f>iferror(VLOOKUP(C859,'ФИО'!A:B,2,0),"учётный код не найден")</f>
        <v>Кезерев Виталий Романович</v>
      </c>
      <c r="T859" s="13" t="str">
        <f t="shared" si="2"/>
        <v/>
      </c>
      <c r="W859" s="21" t="str">
        <f>IFERROR((((38412/(ifs(O859&lt;35,35,O859&gt;34,O859)/N859)*0.7))),"Данные не заполены")</f>
        <v>Данные не заполены</v>
      </c>
      <c r="X859" s="15" t="str">
        <f t="shared" si="89"/>
        <v>Данные не заполены</v>
      </c>
      <c r="Y859" s="15">
        <f t="shared" si="90"/>
        <v>0</v>
      </c>
    </row>
    <row r="860" hidden="1">
      <c r="A860" s="7">
        <v>44129.82274938657</v>
      </c>
      <c r="B860" s="8" t="s">
        <v>26</v>
      </c>
      <c r="C860" s="8">
        <v>20751.0</v>
      </c>
      <c r="D860" s="8" t="s">
        <v>27</v>
      </c>
      <c r="E860" s="8" t="s">
        <v>86</v>
      </c>
      <c r="L860" s="8" t="s">
        <v>31</v>
      </c>
      <c r="M860" s="8" t="s">
        <v>34</v>
      </c>
      <c r="P860" s="9">
        <v>44129.0</v>
      </c>
      <c r="Q860" s="10">
        <v>0.020833333335758653</v>
      </c>
      <c r="R860" s="11" t="str">
        <f t="shared" si="1"/>
        <v>Проведение обучения</v>
      </c>
      <c r="S860" s="12" t="str">
        <f>iferror(VLOOKUP(C860,'ФИО'!A:B,2,0),"учётный код не найден")</f>
        <v>Кезерев Виталий Романович</v>
      </c>
      <c r="T860" s="13" t="str">
        <f t="shared" si="2"/>
        <v/>
      </c>
      <c r="X860" s="14" t="str">
        <f t="shared" si="89"/>
        <v>Данные не заполены</v>
      </c>
      <c r="Y860" s="15">
        <f t="shared" si="90"/>
        <v>0</v>
      </c>
    </row>
    <row r="861" hidden="1">
      <c r="A861" s="7">
        <v>44125.32978966435</v>
      </c>
      <c r="B861" s="8" t="s">
        <v>38</v>
      </c>
      <c r="C861" s="8">
        <v>20751.0</v>
      </c>
      <c r="D861" s="8" t="s">
        <v>27</v>
      </c>
      <c r="E861" s="8" t="s">
        <v>86</v>
      </c>
      <c r="L861" s="8" t="s">
        <v>31</v>
      </c>
      <c r="M861" s="8" t="s">
        <v>34</v>
      </c>
      <c r="P861" s="9">
        <v>44124.0</v>
      </c>
      <c r="Q861" s="10">
        <v>0.020833333335758653</v>
      </c>
      <c r="R861" s="11" t="str">
        <f t="shared" si="1"/>
        <v>Проведение обучения</v>
      </c>
      <c r="S861" s="16" t="str">
        <f>iferror(VLOOKUP(C861,'ФИО'!A:B,2,0),"учётный код не найден")</f>
        <v>Кезерев Виталий Романович</v>
      </c>
      <c r="T861" s="13" t="str">
        <f t="shared" si="2"/>
        <v/>
      </c>
      <c r="X861" s="14" t="str">
        <f t="shared" si="89"/>
        <v>Данные не заполены</v>
      </c>
      <c r="Y861" s="15">
        <f t="shared" si="90"/>
        <v>0</v>
      </c>
    </row>
    <row r="862" hidden="1">
      <c r="A862" s="7">
        <v>44105.82467021991</v>
      </c>
      <c r="B862" s="8" t="s">
        <v>26</v>
      </c>
      <c r="C862" s="8">
        <v>20751.0</v>
      </c>
      <c r="D862" s="18" t="s">
        <v>27</v>
      </c>
      <c r="E862" s="8" t="s">
        <v>65</v>
      </c>
      <c r="G862" s="18">
        <v>3579.0</v>
      </c>
      <c r="H862" s="8" t="s">
        <v>29</v>
      </c>
      <c r="I862" s="8" t="s">
        <v>42</v>
      </c>
      <c r="L862" s="18" t="s">
        <v>31</v>
      </c>
      <c r="M862" s="8" t="s">
        <v>34</v>
      </c>
      <c r="N862" s="8"/>
      <c r="O862" s="8"/>
      <c r="P862" s="19">
        <v>44105.0</v>
      </c>
      <c r="Q862" s="20">
        <v>0.08333333333575865</v>
      </c>
      <c r="R862" s="13" t="str">
        <f t="shared" si="1"/>
        <v>Проверка комплектации</v>
      </c>
      <c r="S862" s="16" t="str">
        <f>iferror(VLOOKUP(C862,'ФИО'!A:B,2,0),"учётный код не найден")</f>
        <v>Кезерев Виталий Романович</v>
      </c>
      <c r="T862" s="13" t="str">
        <f t="shared" si="2"/>
        <v>915-00070.A - Модуль телематики ТМ1 v3 (Сознательные машины)</v>
      </c>
      <c r="U862" s="8">
        <v>0.0</v>
      </c>
      <c r="V862" s="8">
        <v>0.0</v>
      </c>
      <c r="W862" s="21" t="str">
        <f t="shared" ref="W862:W864" si="96">IFERROR((((38412/(ifs(O862&lt;35,35,O862&gt;34,O862)/N862)*0.7))),"Данные не заполены")</f>
        <v>Данные не заполены</v>
      </c>
      <c r="X862" s="15" t="str">
        <f t="shared" si="89"/>
        <v>Данные не заполены</v>
      </c>
      <c r="Y862" s="15">
        <f t="shared" si="90"/>
        <v>0</v>
      </c>
    </row>
    <row r="863" hidden="1">
      <c r="A863" s="7">
        <v>44112.81458482639</v>
      </c>
      <c r="B863" s="8" t="s">
        <v>26</v>
      </c>
      <c r="C863" s="8">
        <v>20751.0</v>
      </c>
      <c r="D863" s="8" t="s">
        <v>27</v>
      </c>
      <c r="E863" s="8" t="s">
        <v>65</v>
      </c>
      <c r="G863" s="8">
        <v>3750.0</v>
      </c>
      <c r="H863" s="8" t="s">
        <v>9</v>
      </c>
      <c r="J863" s="8" t="s">
        <v>46</v>
      </c>
      <c r="L863" s="8" t="s">
        <v>31</v>
      </c>
      <c r="M863" s="8" t="s">
        <v>34</v>
      </c>
      <c r="N863" s="8"/>
      <c r="O863" s="8"/>
      <c r="P863" s="9">
        <v>44112.0</v>
      </c>
      <c r="Q863" s="10">
        <v>0.020833333335758653</v>
      </c>
      <c r="R863" s="11" t="str">
        <f t="shared" si="1"/>
        <v>Проверка комплектации</v>
      </c>
      <c r="S863" s="16" t="str">
        <f>iferror(VLOOKUP(C863,'ФИО'!A:B,2,0),"учётный код не найден")</f>
        <v>Кезерев Виталий Романович</v>
      </c>
      <c r="T863" s="13" t="str">
        <f t="shared" si="2"/>
        <v>ПУ 910-00349.A "Печатный узел основного блока E96 4LIN"</v>
      </c>
      <c r="U863" s="8">
        <v>0.0</v>
      </c>
      <c r="V863" s="8">
        <v>0.0</v>
      </c>
      <c r="W863" s="21" t="str">
        <f t="shared" si="96"/>
        <v>Данные не заполены</v>
      </c>
      <c r="X863" s="15" t="str">
        <f t="shared" si="89"/>
        <v>Данные не заполены</v>
      </c>
      <c r="Y863" s="15">
        <f t="shared" si="90"/>
        <v>0</v>
      </c>
    </row>
    <row r="864" hidden="1">
      <c r="A864" s="7">
        <v>44113.82718847222</v>
      </c>
      <c r="B864" s="8" t="s">
        <v>26</v>
      </c>
      <c r="C864" s="8">
        <v>20751.0</v>
      </c>
      <c r="D864" s="8" t="s">
        <v>27</v>
      </c>
      <c r="E864" s="8" t="s">
        <v>65</v>
      </c>
      <c r="G864" s="8">
        <v>3253.0</v>
      </c>
      <c r="H864" s="8" t="s">
        <v>29</v>
      </c>
      <c r="I864" s="8" t="s">
        <v>95</v>
      </c>
      <c r="L864" s="8" t="s">
        <v>31</v>
      </c>
      <c r="M864" s="8" t="s">
        <v>34</v>
      </c>
      <c r="N864" s="8"/>
      <c r="O864" s="8"/>
      <c r="P864" s="9">
        <v>44113.0</v>
      </c>
      <c r="Q864" s="10">
        <v>0.020833333335758653</v>
      </c>
      <c r="R864" s="11" t="str">
        <f t="shared" si="1"/>
        <v>Проверка комплектации</v>
      </c>
      <c r="S864" s="16" t="str">
        <f>iferror(VLOOKUP(C864,'ФИО'!A:B,2,0),"учётный код не найден")</f>
        <v>Кезерев Виталий Романович</v>
      </c>
      <c r="T864" s="13" t="str">
        <f t="shared" si="2"/>
        <v>915-00095.A - ПКД-8В-1 АСЛБ.467249.108 (Квант)</v>
      </c>
      <c r="U864" s="8">
        <v>0.0</v>
      </c>
      <c r="V864" s="8">
        <v>0.0</v>
      </c>
      <c r="W864" s="21" t="str">
        <f t="shared" si="96"/>
        <v>Данные не заполены</v>
      </c>
      <c r="X864" s="15" t="str">
        <f t="shared" si="89"/>
        <v>Данные не заполены</v>
      </c>
      <c r="Y864" s="15">
        <f t="shared" si="90"/>
        <v>0</v>
      </c>
    </row>
    <row r="865" hidden="1">
      <c r="A865" s="7">
        <v>44124.89005887731</v>
      </c>
      <c r="B865" s="8" t="s">
        <v>38</v>
      </c>
      <c r="C865" s="8">
        <v>20751.0</v>
      </c>
      <c r="D865" s="8" t="s">
        <v>69</v>
      </c>
      <c r="F865" s="8" t="s">
        <v>103</v>
      </c>
      <c r="G865" s="8">
        <v>3047.0</v>
      </c>
      <c r="H865" s="8" t="s">
        <v>29</v>
      </c>
      <c r="I865" s="8" t="s">
        <v>77</v>
      </c>
      <c r="L865" s="8" t="s">
        <v>37</v>
      </c>
      <c r="P865" s="9">
        <v>44123.0</v>
      </c>
      <c r="Q865" s="10">
        <v>0.0625</v>
      </c>
      <c r="R865" s="11" t="str">
        <f t="shared" si="1"/>
        <v>Проверка на АОИ PRI</v>
      </c>
      <c r="S865" s="16" t="str">
        <f>iferror(VLOOKUP(C865,'ФИО'!A:B,2,0),"учётный код не найден")</f>
        <v>Кезерев Виталий Романович</v>
      </c>
      <c r="T865" s="13" t="str">
        <f t="shared" si="2"/>
        <v>915-00081.A-Модуль Трик8 (Кибертех)</v>
      </c>
      <c r="U865" s="8">
        <v>54.0</v>
      </c>
      <c r="V865" s="8">
        <v>14.0</v>
      </c>
      <c r="X865" s="14" t="str">
        <f t="shared" si="89"/>
        <v>Данные не заполены</v>
      </c>
      <c r="Y865" s="15">
        <f t="shared" si="90"/>
        <v>0.2592592593</v>
      </c>
      <c r="Z865" s="8" t="s">
        <v>222</v>
      </c>
    </row>
    <row r="866" hidden="1">
      <c r="A866" s="7">
        <v>44108.33179978009</v>
      </c>
      <c r="B866" s="8" t="s">
        <v>38</v>
      </c>
      <c r="C866" s="8">
        <v>20751.0</v>
      </c>
      <c r="D866" s="8" t="s">
        <v>27</v>
      </c>
      <c r="E866" s="8" t="s">
        <v>66</v>
      </c>
      <c r="G866" s="8">
        <v>3706.0</v>
      </c>
      <c r="H866" s="8" t="s">
        <v>45</v>
      </c>
      <c r="K866" s="8" t="s">
        <v>91</v>
      </c>
      <c r="L866" s="8" t="s">
        <v>31</v>
      </c>
      <c r="M866" s="8" t="s">
        <v>34</v>
      </c>
      <c r="N866" s="8"/>
      <c r="O866" s="8"/>
      <c r="P866" s="9">
        <v>44107.0</v>
      </c>
      <c r="Q866" s="10">
        <v>0.020833333335758653</v>
      </c>
      <c r="R866" s="11" t="str">
        <f t="shared" si="1"/>
        <v>Проверка первой платы до оплавления</v>
      </c>
      <c r="S866" s="16" t="str">
        <f>iferror(VLOOKUP(C866,'ФИО'!A:B,2,0),"учётный код не найден")</f>
        <v>Кезерев Виталий Романович</v>
      </c>
      <c r="T866" s="13" t="str">
        <f t="shared" si="2"/>
        <v>ПУ Сигма 10/15 910-00080.D</v>
      </c>
      <c r="U866" s="8">
        <v>0.0</v>
      </c>
      <c r="V866" s="8">
        <v>0.0</v>
      </c>
      <c r="W866" s="21" t="str">
        <f>IFERROR((((38412/(ifs(O866&lt;35,35,O866&gt;34,O866)/N866)*0.7))),"Данные не заполены")</f>
        <v>Данные не заполены</v>
      </c>
      <c r="X866" s="15" t="str">
        <f t="shared" si="89"/>
        <v>Данные не заполены</v>
      </c>
      <c r="Y866" s="15">
        <f t="shared" si="90"/>
        <v>0</v>
      </c>
    </row>
    <row r="867" hidden="1">
      <c r="A867" s="7">
        <v>44129.81633516204</v>
      </c>
      <c r="B867" s="8" t="s">
        <v>26</v>
      </c>
      <c r="C867" s="8">
        <v>22087.0</v>
      </c>
      <c r="D867" s="8" t="s">
        <v>69</v>
      </c>
      <c r="F867" s="8" t="s">
        <v>207</v>
      </c>
      <c r="G867" s="8">
        <v>3047.0</v>
      </c>
      <c r="H867" s="8" t="s">
        <v>29</v>
      </c>
      <c r="I867" s="8" t="s">
        <v>77</v>
      </c>
      <c r="L867" s="8" t="s">
        <v>31</v>
      </c>
      <c r="M867" s="8" t="s">
        <v>34</v>
      </c>
      <c r="P867" s="9">
        <v>44129.0</v>
      </c>
      <c r="Q867" s="10">
        <v>0.00972222222480923</v>
      </c>
      <c r="R867" s="11" t="str">
        <f t="shared" si="1"/>
        <v>Проверка первой платы после пайки</v>
      </c>
      <c r="S867" s="12" t="str">
        <f>iferror(VLOOKUP(C867,'ФИО'!A:B,2,0),"учётный код не найден")</f>
        <v>Хохряков Илья Александрович</v>
      </c>
      <c r="T867" s="13" t="str">
        <f t="shared" si="2"/>
        <v>915-00081.A-Модуль Трик8 (Кибертех)</v>
      </c>
      <c r="U867" s="8">
        <v>0.0</v>
      </c>
      <c r="V867" s="8">
        <v>0.0</v>
      </c>
      <c r="X867" s="14" t="str">
        <f t="shared" si="89"/>
        <v>Данные не заполены</v>
      </c>
      <c r="Y867" s="15">
        <f t="shared" si="90"/>
        <v>0</v>
      </c>
    </row>
    <row r="868" hidden="1">
      <c r="A868" s="7">
        <v>44112.79386479167</v>
      </c>
      <c r="B868" s="8" t="s">
        <v>26</v>
      </c>
      <c r="C868" s="8">
        <v>20015.0</v>
      </c>
      <c r="D868" s="8" t="s">
        <v>69</v>
      </c>
      <c r="F868" s="8" t="s">
        <v>104</v>
      </c>
      <c r="L868" s="8" t="s">
        <v>31</v>
      </c>
      <c r="M868" s="8" t="s">
        <v>34</v>
      </c>
      <c r="N868" s="8"/>
      <c r="O868" s="8"/>
      <c r="P868" s="9">
        <v>44112.0</v>
      </c>
      <c r="Q868" s="10">
        <v>0.20833333333575865</v>
      </c>
      <c r="R868" s="11" t="str">
        <f t="shared" si="1"/>
        <v>Обучение</v>
      </c>
      <c r="S868" s="16" t="str">
        <f>iferror(VLOOKUP(C868,'ФИО'!A:B,2,0),"учётный код не найден")</f>
        <v>Ельцов Андрей Николаевич</v>
      </c>
      <c r="T868" s="13" t="str">
        <f t="shared" si="2"/>
        <v/>
      </c>
      <c r="W868" s="21" t="str">
        <f t="shared" ref="W868:W873" si="97">IFERROR((((38412/(ifs(O868&lt;35,35,O868&gt;34,O868)/N868)*0.7))),"Данные не заполены")</f>
        <v>Данные не заполены</v>
      </c>
      <c r="X868" s="15" t="str">
        <f t="shared" si="89"/>
        <v>Данные не заполены</v>
      </c>
      <c r="Y868" s="15">
        <f t="shared" si="90"/>
        <v>0</v>
      </c>
    </row>
    <row r="869" hidden="1">
      <c r="A869" s="7">
        <v>44109.815876782406</v>
      </c>
      <c r="B869" s="8" t="s">
        <v>127</v>
      </c>
      <c r="C869" s="8">
        <v>22574.0</v>
      </c>
      <c r="D869" s="8" t="s">
        <v>27</v>
      </c>
      <c r="E869" s="8" t="s">
        <v>68</v>
      </c>
      <c r="L869" s="8" t="s">
        <v>31</v>
      </c>
      <c r="M869" s="8" t="s">
        <v>34</v>
      </c>
      <c r="N869" s="8"/>
      <c r="O869" s="8"/>
      <c r="P869" s="9">
        <v>44109.0</v>
      </c>
      <c r="Q869" s="10">
        <v>0.0625</v>
      </c>
      <c r="R869" s="11" t="str">
        <f t="shared" si="1"/>
        <v>Прохождение обучения</v>
      </c>
      <c r="S869" s="16" t="str">
        <f>iferror(VLOOKUP(C869,'ФИО'!A:B,2,0),"учётный код не найден")</f>
        <v>Шапенков Геннадий Михайлович</v>
      </c>
      <c r="T869" s="11" t="str">
        <f t="shared" si="2"/>
        <v/>
      </c>
      <c r="W869" s="21" t="str">
        <f t="shared" si="97"/>
        <v>Данные не заполены</v>
      </c>
      <c r="X869" s="15" t="str">
        <f t="shared" si="89"/>
        <v>Данные не заполены</v>
      </c>
      <c r="Y869" s="15">
        <f t="shared" si="90"/>
        <v>0</v>
      </c>
    </row>
    <row r="870" hidden="1">
      <c r="A870" s="7">
        <v>44124.81524321759</v>
      </c>
      <c r="B870" s="8" t="s">
        <v>127</v>
      </c>
      <c r="C870" s="8">
        <v>22574.0</v>
      </c>
      <c r="D870" s="8" t="s">
        <v>27</v>
      </c>
      <c r="E870" s="8" t="s">
        <v>68</v>
      </c>
      <c r="L870" s="8" t="s">
        <v>31</v>
      </c>
      <c r="M870" s="8" t="s">
        <v>34</v>
      </c>
      <c r="P870" s="9">
        <v>44124.0</v>
      </c>
      <c r="Q870" s="10">
        <v>0.08333333333575865</v>
      </c>
      <c r="R870" s="11" t="str">
        <f t="shared" si="1"/>
        <v>Прохождение обучения</v>
      </c>
      <c r="S870" s="16" t="str">
        <f>iferror(VLOOKUP(C870,'ФИО'!A:B,2,0),"учётный код не найден")</f>
        <v>Шапенков Геннадий Михайлович</v>
      </c>
      <c r="T870" s="11" t="str">
        <f t="shared" si="2"/>
        <v/>
      </c>
      <c r="U870" s="8">
        <v>0.0</v>
      </c>
      <c r="V870" s="8">
        <v>0.0</v>
      </c>
      <c r="W870" s="17" t="str">
        <f t="shared" si="97"/>
        <v>Данные не заполены</v>
      </c>
      <c r="X870" s="14" t="str">
        <f t="shared" si="89"/>
        <v>Данные не заполены</v>
      </c>
      <c r="Y870" s="15">
        <f t="shared" si="90"/>
        <v>0</v>
      </c>
    </row>
    <row r="871" hidden="1">
      <c r="A871" s="7">
        <v>44132.8186644213</v>
      </c>
      <c r="B871" s="8" t="s">
        <v>127</v>
      </c>
      <c r="C871" s="8">
        <v>22574.0</v>
      </c>
      <c r="D871" s="8" t="s">
        <v>27</v>
      </c>
      <c r="E871" s="8" t="s">
        <v>68</v>
      </c>
      <c r="L871" s="8" t="s">
        <v>31</v>
      </c>
      <c r="M871" s="8" t="s">
        <v>34</v>
      </c>
      <c r="P871" s="9">
        <v>44132.0</v>
      </c>
      <c r="Q871" s="10">
        <v>0.08333333333575865</v>
      </c>
      <c r="R871" s="11" t="str">
        <f t="shared" si="1"/>
        <v>Прохождение обучения</v>
      </c>
      <c r="S871" s="16" t="str">
        <f>iferror(VLOOKUP(C871,'ФИО'!A:B,2,0),"учётный код не найден")</f>
        <v>Шапенков Геннадий Михайлович</v>
      </c>
      <c r="T871" s="11" t="str">
        <f t="shared" si="2"/>
        <v/>
      </c>
      <c r="W871" s="17" t="str">
        <f t="shared" si="97"/>
        <v>Данные не заполены</v>
      </c>
      <c r="X871" s="14" t="str">
        <f t="shared" si="89"/>
        <v>Данные не заполены</v>
      </c>
      <c r="Y871" s="15">
        <f t="shared" si="90"/>
        <v>0</v>
      </c>
    </row>
    <row r="872" hidden="1">
      <c r="A872" s="7">
        <v>44132.81733175926</v>
      </c>
      <c r="B872" s="8" t="s">
        <v>127</v>
      </c>
      <c r="C872" s="8">
        <v>22574.0</v>
      </c>
      <c r="D872" s="8" t="s">
        <v>27</v>
      </c>
      <c r="E872" s="8" t="s">
        <v>201</v>
      </c>
      <c r="G872" s="8">
        <v>3621.0</v>
      </c>
      <c r="H872" s="8" t="s">
        <v>29</v>
      </c>
      <c r="I872" s="8" t="s">
        <v>54</v>
      </c>
      <c r="L872" s="8" t="s">
        <v>31</v>
      </c>
      <c r="M872" s="8" t="s">
        <v>34</v>
      </c>
      <c r="P872" s="9">
        <v>44132.0</v>
      </c>
      <c r="Q872" s="10">
        <v>0.04166666666424135</v>
      </c>
      <c r="R872" s="11" t="str">
        <f t="shared" si="1"/>
        <v>Разрядка питателей Prim</v>
      </c>
      <c r="S872" s="16" t="str">
        <f>iferror(VLOOKUP(C872,'ФИО'!A:B,2,0),"учётный код не найден")</f>
        <v>Шапенков Геннадий Михайлович</v>
      </c>
      <c r="T872" s="11" t="str">
        <f t="shared" si="2"/>
        <v>915-00121.A - Процессорный модуль РСЕН.469555.027 (КНС Групп)</v>
      </c>
      <c r="U872" s="8">
        <v>0.0</v>
      </c>
      <c r="V872" s="8">
        <v>0.0</v>
      </c>
      <c r="W872" s="17" t="str">
        <f t="shared" si="97"/>
        <v>Данные не заполены</v>
      </c>
      <c r="X872" s="14" t="str">
        <f t="shared" si="89"/>
        <v>Данные не заполены</v>
      </c>
      <c r="Y872" s="15">
        <f t="shared" si="90"/>
        <v>0</v>
      </c>
    </row>
    <row r="873">
      <c r="A873" s="7">
        <v>44120.85746005787</v>
      </c>
      <c r="B873" s="8" t="s">
        <v>126</v>
      </c>
      <c r="C873" s="8">
        <v>22063.0</v>
      </c>
      <c r="D873" s="8" t="s">
        <v>69</v>
      </c>
      <c r="F873" s="8" t="s">
        <v>72</v>
      </c>
      <c r="G873" s="8">
        <v>3750.0</v>
      </c>
      <c r="H873" s="8" t="s">
        <v>9</v>
      </c>
      <c r="J873" s="8" t="s">
        <v>46</v>
      </c>
      <c r="L873" s="8" t="s">
        <v>31</v>
      </c>
      <c r="M873" s="8" t="s">
        <v>34</v>
      </c>
      <c r="P873" s="9">
        <v>44119.0</v>
      </c>
      <c r="Q873" s="10">
        <v>0.125</v>
      </c>
      <c r="R873" s="11" t="str">
        <f t="shared" si="1"/>
        <v>Пайка компонентов PRI</v>
      </c>
      <c r="S873" s="16" t="str">
        <f>iferror(VLOOKUP(C873,'ФИО'!A:B,2,0),"учётный код не найден")</f>
        <v>Белоглазов Сергей Анатольевич</v>
      </c>
      <c r="T873" s="13" t="str">
        <f t="shared" si="2"/>
        <v>ПУ 910-00349.A "Печатный узел основного блока E96 4LIN"</v>
      </c>
      <c r="U873" s="8">
        <v>0.0</v>
      </c>
      <c r="V873" s="8">
        <v>0.0</v>
      </c>
      <c r="W873" s="17" t="str">
        <f t="shared" si="97"/>
        <v>Данные не заполены</v>
      </c>
      <c r="X873" s="14" t="str">
        <f t="shared" si="89"/>
        <v>Данные не заполены</v>
      </c>
    </row>
    <row r="874">
      <c r="A874" s="7">
        <v>44120.31615532408</v>
      </c>
      <c r="B874" s="8" t="s">
        <v>126</v>
      </c>
      <c r="C874" s="8">
        <v>22574.0</v>
      </c>
      <c r="D874" s="8" t="s">
        <v>69</v>
      </c>
      <c r="F874" s="8" t="s">
        <v>72</v>
      </c>
      <c r="G874" s="8">
        <v>3750.0</v>
      </c>
      <c r="H874" s="8" t="s">
        <v>45</v>
      </c>
      <c r="K874" s="8" t="s">
        <v>46</v>
      </c>
      <c r="L874" s="8" t="s">
        <v>37</v>
      </c>
      <c r="P874" s="9">
        <v>44119.0</v>
      </c>
      <c r="Q874" s="10">
        <v>0.35416666666424135</v>
      </c>
      <c r="R874" s="11" t="str">
        <f t="shared" si="1"/>
        <v>Пайка компонентов PRI</v>
      </c>
      <c r="S874" s="16" t="str">
        <f>iferror(VLOOKUP(C874,'ФИО'!A:B,2,0),"учётный код не найден")</f>
        <v>Шапенков Геннадий Михайлович</v>
      </c>
      <c r="T874" s="13" t="str">
        <f t="shared" si="2"/>
        <v>ПУ 910-00349.A "Печатный узел основного блока E96 4LIN"</v>
      </c>
      <c r="U874" s="8">
        <v>0.0</v>
      </c>
      <c r="V874" s="8">
        <v>0.0</v>
      </c>
    </row>
    <row r="875" hidden="1">
      <c r="A875" s="7">
        <v>44121.3105584375</v>
      </c>
      <c r="B875" s="8" t="s">
        <v>126</v>
      </c>
      <c r="C875" s="8">
        <v>22574.0</v>
      </c>
      <c r="D875" s="8" t="s">
        <v>69</v>
      </c>
      <c r="F875" s="8" t="s">
        <v>72</v>
      </c>
      <c r="G875" s="8">
        <v>3579.0</v>
      </c>
      <c r="H875" s="8" t="s">
        <v>29</v>
      </c>
      <c r="I875" s="8" t="s">
        <v>42</v>
      </c>
      <c r="L875" s="8" t="s">
        <v>37</v>
      </c>
      <c r="P875" s="9">
        <v>44120.0</v>
      </c>
      <c r="Q875" s="10">
        <v>0.45833333333575865</v>
      </c>
      <c r="R875" s="11" t="str">
        <f t="shared" si="1"/>
        <v>Пайка компонентов PRI</v>
      </c>
      <c r="S875" s="16" t="str">
        <f>iferror(VLOOKUP(C875,'ФИО'!A:B,2,0),"учётный код не найден")</f>
        <v>Шапенков Геннадий Михайлович</v>
      </c>
      <c r="T875" s="13" t="str">
        <f t="shared" si="2"/>
        <v>915-00070.A - Модуль телематики ТМ1 v3 (Сознательные машины)</v>
      </c>
      <c r="U875" s="8">
        <v>0.0</v>
      </c>
      <c r="V875" s="8">
        <v>0.0</v>
      </c>
      <c r="W875" s="17" t="str">
        <f t="shared" ref="W875:W902" si="98">IFERROR((((38412/(ifs(O875&lt;35,35,O875&gt;34,O875)/N875)*0.7))),"Данные не заполены")</f>
        <v>Данные не заполены</v>
      </c>
      <c r="X875" s="14" t="str">
        <f t="shared" ref="X875:X948" si="99">IFERROR((((V875+U875)/Q875)/24)/(W875/11),"Данные не заполены")</f>
        <v>Данные не заполены</v>
      </c>
      <c r="Y875" s="15">
        <f t="shared" ref="Y875:Y948" si="100">iferror((V875/if(U875=0,1,U875)),0)</f>
        <v>0</v>
      </c>
    </row>
    <row r="876" hidden="1">
      <c r="A876" s="7">
        <v>44121.3448105787</v>
      </c>
      <c r="B876" s="8" t="s">
        <v>126</v>
      </c>
      <c r="C876" s="8">
        <v>60000.0</v>
      </c>
      <c r="D876" s="8" t="s">
        <v>69</v>
      </c>
      <c r="F876" s="8" t="s">
        <v>72</v>
      </c>
      <c r="G876" s="8">
        <v>3579.0</v>
      </c>
      <c r="H876" s="8" t="s">
        <v>29</v>
      </c>
      <c r="I876" s="8" t="s">
        <v>42</v>
      </c>
      <c r="L876" s="8" t="s">
        <v>37</v>
      </c>
      <c r="P876" s="9">
        <v>44120.0</v>
      </c>
      <c r="Q876" s="10">
        <v>0.08333333333575865</v>
      </c>
      <c r="R876" s="11" t="str">
        <f t="shared" si="1"/>
        <v>Пайка компонентов PRI</v>
      </c>
      <c r="S876" s="12" t="str">
        <f>iferror(VLOOKUP(C876,'ФИО'!A:B,2,0),"учётный код не найден")</f>
        <v>THT</v>
      </c>
      <c r="T876" s="11" t="str">
        <f t="shared" si="2"/>
        <v>915-00070.A - Модуль телематики ТМ1 v3 (Сознательные машины)</v>
      </c>
      <c r="U876" s="8">
        <v>0.0</v>
      </c>
      <c r="V876" s="8">
        <v>0.0</v>
      </c>
      <c r="W876" s="21" t="str">
        <f t="shared" si="98"/>
        <v>Данные не заполены</v>
      </c>
      <c r="X876" s="15" t="str">
        <f t="shared" si="99"/>
        <v>Данные не заполены</v>
      </c>
      <c r="Y876" s="15">
        <f t="shared" si="100"/>
        <v>0</v>
      </c>
    </row>
    <row r="877" hidden="1">
      <c r="A877" s="7">
        <v>44118.83406736111</v>
      </c>
      <c r="B877" s="8" t="s">
        <v>89</v>
      </c>
      <c r="C877" s="8">
        <v>21852.0</v>
      </c>
      <c r="D877" s="8" t="s">
        <v>69</v>
      </c>
      <c r="F877" s="8" t="s">
        <v>103</v>
      </c>
      <c r="G877" s="8">
        <v>3234.0</v>
      </c>
      <c r="H877" s="8" t="s">
        <v>29</v>
      </c>
      <c r="I877" s="8" t="s">
        <v>135</v>
      </c>
      <c r="L877" s="8" t="s">
        <v>37</v>
      </c>
      <c r="P877" s="9">
        <v>44118.0</v>
      </c>
      <c r="Q877" s="10">
        <v>0.020833333335758653</v>
      </c>
      <c r="R877" s="11" t="str">
        <f t="shared" si="1"/>
        <v>Проверка на АОИ PRI</v>
      </c>
      <c r="S877" s="16" t="str">
        <f>iferror(VLOOKUP(C877,'ФИО'!A:B,2,0),"учётный код не найден")</f>
        <v>Пономарев Юрий Андреевич</v>
      </c>
      <c r="T877" s="13" t="str">
        <f t="shared" si="2"/>
        <v>915-00101.A - ПКД-9В АСЛБ.467249.107 (Квант)</v>
      </c>
      <c r="U877" s="8">
        <v>9.0</v>
      </c>
      <c r="V877" s="8">
        <v>0.0</v>
      </c>
      <c r="W877" s="17" t="str">
        <f t="shared" si="98"/>
        <v>Данные не заполены</v>
      </c>
      <c r="X877" s="14" t="str">
        <f t="shared" si="99"/>
        <v>Данные не заполены</v>
      </c>
      <c r="Y877" s="15">
        <f t="shared" si="100"/>
        <v>0</v>
      </c>
    </row>
    <row r="878" hidden="1">
      <c r="A878" s="7">
        <v>44119.324252754624</v>
      </c>
      <c r="B878" s="8" t="s">
        <v>94</v>
      </c>
      <c r="C878" s="8">
        <v>21928.0</v>
      </c>
      <c r="D878" s="8" t="s">
        <v>69</v>
      </c>
      <c r="F878" s="8" t="s">
        <v>103</v>
      </c>
      <c r="G878" s="8">
        <v>2958.0</v>
      </c>
      <c r="H878" s="8" t="s">
        <v>29</v>
      </c>
      <c r="I878" s="8" t="s">
        <v>212</v>
      </c>
      <c r="L878" s="8" t="s">
        <v>37</v>
      </c>
      <c r="P878" s="9">
        <v>44118.0</v>
      </c>
      <c r="Q878" s="10">
        <v>0.10416666666424135</v>
      </c>
      <c r="R878" s="11" t="str">
        <f t="shared" si="1"/>
        <v>Проверка на АОИ PRI</v>
      </c>
      <c r="S878" s="16" t="str">
        <f>iferror(VLOOKUP(C878,'ФИО'!A:B,2,0),"учётный код не найден")</f>
        <v>Савченко Виктория Андреевна</v>
      </c>
      <c r="T878" s="13" t="str">
        <f t="shared" si="2"/>
        <v>КТ-500 (Производственный Альянс)</v>
      </c>
      <c r="U878" s="8">
        <v>84.0</v>
      </c>
      <c r="V878" s="8">
        <v>244.0</v>
      </c>
      <c r="W878" s="17" t="str">
        <f t="shared" si="98"/>
        <v>Данные не заполены</v>
      </c>
      <c r="X878" s="14" t="str">
        <f t="shared" si="99"/>
        <v>Данные не заполены</v>
      </c>
      <c r="Y878" s="15">
        <f t="shared" si="100"/>
        <v>2.904761905</v>
      </c>
    </row>
    <row r="879" hidden="1">
      <c r="A879" s="7">
        <v>44119.326967500005</v>
      </c>
      <c r="B879" s="8" t="s">
        <v>94</v>
      </c>
      <c r="C879" s="8">
        <v>21928.0</v>
      </c>
      <c r="D879" s="8" t="s">
        <v>69</v>
      </c>
      <c r="F879" s="8" t="s">
        <v>103</v>
      </c>
      <c r="G879" s="8">
        <v>3580.0</v>
      </c>
      <c r="H879" s="8" t="s">
        <v>29</v>
      </c>
      <c r="I879" s="8" t="s">
        <v>146</v>
      </c>
      <c r="L879" s="8" t="s">
        <v>37</v>
      </c>
      <c r="P879" s="9">
        <v>44118.0</v>
      </c>
      <c r="Q879" s="10">
        <v>0.10416666666424135</v>
      </c>
      <c r="R879" s="11" t="str">
        <f t="shared" si="1"/>
        <v>Проверка на АОИ PRI</v>
      </c>
      <c r="S879" s="16" t="str">
        <f>iferror(VLOOKUP(C879,'ФИО'!A:B,2,0),"учётный код не найден")</f>
        <v>Савченко Виктория Андреевна</v>
      </c>
      <c r="T879" s="13" t="str">
        <f t="shared" si="2"/>
        <v>XR (Термотроник)</v>
      </c>
      <c r="U879" s="8">
        <v>800.0</v>
      </c>
      <c r="V879" s="8">
        <v>0.0</v>
      </c>
      <c r="W879" s="17" t="str">
        <f t="shared" si="98"/>
        <v>Данные не заполены</v>
      </c>
      <c r="X879" s="14" t="str">
        <f t="shared" si="99"/>
        <v>Данные не заполены</v>
      </c>
      <c r="Y879" s="15">
        <f t="shared" si="100"/>
        <v>0</v>
      </c>
    </row>
    <row r="880" hidden="1">
      <c r="A880" s="7">
        <v>44129.324107569446</v>
      </c>
      <c r="B880" s="8" t="s">
        <v>126</v>
      </c>
      <c r="C880" s="8">
        <v>60000.0</v>
      </c>
      <c r="D880" s="8" t="s">
        <v>69</v>
      </c>
      <c r="F880" s="8" t="s">
        <v>72</v>
      </c>
      <c r="G880" s="8">
        <v>3047.0</v>
      </c>
      <c r="H880" s="8" t="s">
        <v>29</v>
      </c>
      <c r="I880" s="8" t="s">
        <v>77</v>
      </c>
      <c r="L880" s="8" t="s">
        <v>37</v>
      </c>
      <c r="N880" s="8">
        <v>2.0</v>
      </c>
      <c r="O880" s="8">
        <v>150.0</v>
      </c>
      <c r="P880" s="9">
        <v>44128.0</v>
      </c>
      <c r="Q880" s="10">
        <v>0.14583333333575865</v>
      </c>
      <c r="R880" s="11" t="str">
        <f t="shared" si="1"/>
        <v>Пайка компонентов PRI</v>
      </c>
      <c r="S880" s="12" t="str">
        <f>iferror(VLOOKUP(C880,'ФИО'!A:B,2,0),"учётный код не найден")</f>
        <v>THT</v>
      </c>
      <c r="T880" s="13" t="str">
        <f t="shared" si="2"/>
        <v>915-00081.A-Модуль Трик8 (Кибертех)</v>
      </c>
      <c r="U880" s="8">
        <v>108.0</v>
      </c>
      <c r="V880" s="8">
        <v>0.0</v>
      </c>
      <c r="W880" s="17">
        <f t="shared" si="98"/>
        <v>358.512</v>
      </c>
      <c r="X880" s="14">
        <f t="shared" si="99"/>
        <v>0.9467704607</v>
      </c>
      <c r="Y880" s="15">
        <f t="shared" si="100"/>
        <v>0</v>
      </c>
      <c r="Z880" s="8" t="s">
        <v>223</v>
      </c>
    </row>
    <row r="881" hidden="1">
      <c r="A881" s="7">
        <v>44129.3199275463</v>
      </c>
      <c r="B881" s="8" t="s">
        <v>126</v>
      </c>
      <c r="C881" s="8">
        <v>22063.0</v>
      </c>
      <c r="D881" s="8" t="s">
        <v>69</v>
      </c>
      <c r="F881" s="8" t="s">
        <v>72</v>
      </c>
      <c r="G881" s="8">
        <v>3047.0</v>
      </c>
      <c r="H881" s="8" t="s">
        <v>29</v>
      </c>
      <c r="I881" s="8" t="s">
        <v>77</v>
      </c>
      <c r="L881" s="8" t="s">
        <v>37</v>
      </c>
      <c r="P881" s="9">
        <v>44128.0</v>
      </c>
      <c r="Q881" s="10">
        <v>0.14583333333575865</v>
      </c>
      <c r="R881" s="11" t="str">
        <f t="shared" si="1"/>
        <v>Пайка компонентов PRI</v>
      </c>
      <c r="S881" s="12" t="str">
        <f>iferror(VLOOKUP(C881,'ФИО'!A:B,2,0),"учётный код не найден")</f>
        <v>Белоглазов Сергей Анатольевич</v>
      </c>
      <c r="T881" s="13" t="str">
        <f t="shared" si="2"/>
        <v>915-00081.A-Модуль Трик8 (Кибертех)</v>
      </c>
      <c r="U881" s="8">
        <v>0.0</v>
      </c>
      <c r="V881" s="8">
        <v>0.0</v>
      </c>
      <c r="W881" s="17" t="str">
        <f t="shared" si="98"/>
        <v>Данные не заполены</v>
      </c>
      <c r="X881" s="14" t="str">
        <f t="shared" si="99"/>
        <v>Данные не заполены</v>
      </c>
      <c r="Y881" s="15">
        <f t="shared" si="100"/>
        <v>0</v>
      </c>
    </row>
    <row r="882" hidden="1">
      <c r="A882" s="7">
        <v>44132.81934965278</v>
      </c>
      <c r="B882" s="8" t="s">
        <v>127</v>
      </c>
      <c r="C882" s="8">
        <v>22574.0</v>
      </c>
      <c r="D882" s="8" t="s">
        <v>27</v>
      </c>
      <c r="E882" s="8" t="s">
        <v>201</v>
      </c>
      <c r="G882" s="8">
        <v>3802.0</v>
      </c>
      <c r="H882" s="8" t="s">
        <v>45</v>
      </c>
      <c r="K882" s="8" t="s">
        <v>120</v>
      </c>
      <c r="L882" s="8" t="s">
        <v>31</v>
      </c>
      <c r="M882" s="8" t="s">
        <v>34</v>
      </c>
      <c r="P882" s="9">
        <v>44132.0</v>
      </c>
      <c r="Q882" s="10">
        <v>0.020833333335758653</v>
      </c>
      <c r="R882" s="11" t="str">
        <f t="shared" si="1"/>
        <v>Разрядка питателей Prim</v>
      </c>
      <c r="S882" s="16" t="str">
        <f>iferror(VLOOKUP(C882,'ФИО'!A:B,2,0),"учётный код не найден")</f>
        <v>Шапенков Геннадий Михайлович</v>
      </c>
      <c r="T882" s="11" t="str">
        <f t="shared" si="2"/>
        <v>М15ECO (900-00030.С) 910-00034.C/910-00041.C</v>
      </c>
      <c r="U882" s="8">
        <v>0.0</v>
      </c>
      <c r="V882" s="8">
        <v>0.0</v>
      </c>
      <c r="W882" s="17" t="str">
        <f t="shared" si="98"/>
        <v>Данные не заполены</v>
      </c>
      <c r="X882" s="14" t="str">
        <f t="shared" si="99"/>
        <v>Данные не заполены</v>
      </c>
      <c r="Y882" s="15">
        <f t="shared" si="100"/>
        <v>0</v>
      </c>
    </row>
    <row r="883" hidden="1">
      <c r="A883" s="7">
        <v>44108.822741875</v>
      </c>
      <c r="B883" s="8" t="s">
        <v>127</v>
      </c>
      <c r="C883" s="8">
        <v>22574.0</v>
      </c>
      <c r="D883" s="8" t="s">
        <v>27</v>
      </c>
      <c r="E883" s="8" t="s">
        <v>112</v>
      </c>
      <c r="G883" s="8">
        <v>3706.0</v>
      </c>
      <c r="H883" s="8" t="s">
        <v>45</v>
      </c>
      <c r="K883" s="8" t="s">
        <v>91</v>
      </c>
      <c r="L883" s="8" t="s">
        <v>31</v>
      </c>
      <c r="M883" s="8" t="s">
        <v>34</v>
      </c>
      <c r="N883" s="8"/>
      <c r="O883" s="8"/>
      <c r="P883" s="9">
        <v>44108.0</v>
      </c>
      <c r="Q883" s="10">
        <v>0.04166666666424135</v>
      </c>
      <c r="R883" s="11" t="str">
        <f t="shared" si="1"/>
        <v>Разрядка питателей Sec</v>
      </c>
      <c r="S883" s="16" t="str">
        <f>iferror(VLOOKUP(C883,'ФИО'!A:B,2,0),"учётный код не найден")</f>
        <v>Шапенков Геннадий Михайлович</v>
      </c>
      <c r="T883" s="11" t="str">
        <f t="shared" si="2"/>
        <v>ПУ Сигма 10/15 910-00080.D</v>
      </c>
      <c r="U883" s="8">
        <v>0.0</v>
      </c>
      <c r="V883" s="8">
        <v>0.0</v>
      </c>
      <c r="W883" s="21" t="str">
        <f t="shared" si="98"/>
        <v>Данные не заполены</v>
      </c>
      <c r="X883" s="15" t="str">
        <f t="shared" si="99"/>
        <v>Данные не заполены</v>
      </c>
      <c r="Y883" s="15">
        <f t="shared" si="100"/>
        <v>0</v>
      </c>
    </row>
    <row r="884" hidden="1">
      <c r="A884" s="7">
        <v>44112.349125023145</v>
      </c>
      <c r="B884" s="8" t="s">
        <v>126</v>
      </c>
      <c r="C884" s="8">
        <v>22063.0</v>
      </c>
      <c r="D884" s="8" t="s">
        <v>69</v>
      </c>
      <c r="F884" s="8" t="s">
        <v>80</v>
      </c>
      <c r="G884" s="8">
        <v>3233.0</v>
      </c>
      <c r="H884" s="8" t="s">
        <v>29</v>
      </c>
      <c r="I884" s="8" t="s">
        <v>60</v>
      </c>
      <c r="L884" s="8" t="s">
        <v>31</v>
      </c>
      <c r="M884" s="8" t="s">
        <v>34</v>
      </c>
      <c r="N884" s="8"/>
      <c r="O884" s="8"/>
      <c r="P884" s="9">
        <v>44111.0</v>
      </c>
      <c r="Q884" s="10">
        <v>0.0625</v>
      </c>
      <c r="R884" s="11" t="str">
        <f t="shared" si="1"/>
        <v>Пайка компонентов SEC</v>
      </c>
      <c r="S884" s="16" t="str">
        <f>iferror(VLOOKUP(C884,'ФИО'!A:B,2,0),"учётный код не найден")</f>
        <v>Белоглазов Сергей Анатольевич</v>
      </c>
      <c r="T884" s="13" t="str">
        <f t="shared" si="2"/>
        <v>915-00102.A - ПБОК-2В АСЛБ.465285.013 (Квант)</v>
      </c>
      <c r="U884" s="8">
        <v>0.0</v>
      </c>
      <c r="V884" s="8">
        <v>0.0</v>
      </c>
      <c r="W884" s="21" t="str">
        <f t="shared" si="98"/>
        <v>Данные не заполены</v>
      </c>
      <c r="X884" s="15" t="str">
        <f t="shared" si="99"/>
        <v>Данные не заполены</v>
      </c>
      <c r="Y884" s="15">
        <f t="shared" si="100"/>
        <v>0</v>
      </c>
    </row>
    <row r="885" hidden="1">
      <c r="A885" s="7">
        <v>44124.81608211806</v>
      </c>
      <c r="B885" s="8" t="s">
        <v>127</v>
      </c>
      <c r="C885" s="8">
        <v>22574.0</v>
      </c>
      <c r="D885" s="8" t="s">
        <v>27</v>
      </c>
      <c r="E885" s="8" t="s">
        <v>112</v>
      </c>
      <c r="G885" s="8">
        <v>3754.0</v>
      </c>
      <c r="H885" s="8" t="s">
        <v>45</v>
      </c>
      <c r="K885" s="8" t="s">
        <v>124</v>
      </c>
      <c r="L885" s="8" t="s">
        <v>31</v>
      </c>
      <c r="M885" s="8" t="s">
        <v>34</v>
      </c>
      <c r="P885" s="9">
        <v>44124.0</v>
      </c>
      <c r="Q885" s="10">
        <v>0.04166666666424135</v>
      </c>
      <c r="R885" s="11" t="str">
        <f t="shared" si="1"/>
        <v>Разрядка питателей Sec</v>
      </c>
      <c r="S885" s="16" t="str">
        <f>iferror(VLOOKUP(C885,'ФИО'!A:B,2,0),"учётный код не найден")</f>
        <v>Шапенков Геннадий Михайлович</v>
      </c>
      <c r="T885" s="11" t="str">
        <f t="shared" si="2"/>
        <v>ПУ 910-00120.D - Печатный узел модуля 2CAN+LIN</v>
      </c>
      <c r="U885" s="8">
        <v>0.0</v>
      </c>
      <c r="V885" s="8">
        <v>0.0</v>
      </c>
      <c r="W885" s="17" t="str">
        <f t="shared" si="98"/>
        <v>Данные не заполены</v>
      </c>
      <c r="X885" s="14" t="str">
        <f t="shared" si="99"/>
        <v>Данные не заполены</v>
      </c>
      <c r="Y885" s="15">
        <f t="shared" si="100"/>
        <v>0</v>
      </c>
    </row>
    <row r="886" hidden="1">
      <c r="A886" s="7">
        <v>44109.81527101852</v>
      </c>
      <c r="B886" s="8" t="s">
        <v>127</v>
      </c>
      <c r="C886" s="8">
        <v>22574.0</v>
      </c>
      <c r="D886" s="8" t="s">
        <v>27</v>
      </c>
      <c r="E886" s="8" t="s">
        <v>67</v>
      </c>
      <c r="G886" s="8">
        <v>3726.0</v>
      </c>
      <c r="H886" s="8" t="s">
        <v>45</v>
      </c>
      <c r="K886" s="8" t="s">
        <v>58</v>
      </c>
      <c r="L886" s="8" t="s">
        <v>37</v>
      </c>
      <c r="P886" s="9">
        <v>44109.0</v>
      </c>
      <c r="Q886" s="10">
        <v>0.39583333333575865</v>
      </c>
      <c r="R886" s="11" t="str">
        <f t="shared" si="1"/>
        <v>Сборка на линии Prim</v>
      </c>
      <c r="S886" s="16" t="str">
        <f>iferror(VLOOKUP(C886,'ФИО'!A:B,2,0),"учётный код не найден")</f>
        <v>Шапенков Геннадий Михайлович</v>
      </c>
      <c r="T886" s="11" t="str">
        <f t="shared" si="2"/>
        <v>ПУ метки i95</v>
      </c>
      <c r="U886" s="8">
        <v>0.0</v>
      </c>
      <c r="V886" s="8">
        <v>0.0</v>
      </c>
      <c r="W886" s="21" t="str">
        <f t="shared" si="98"/>
        <v>Данные не заполены</v>
      </c>
      <c r="X886" s="15" t="str">
        <f t="shared" si="99"/>
        <v>Данные не заполены</v>
      </c>
      <c r="Y886" s="15">
        <f t="shared" si="100"/>
        <v>0</v>
      </c>
    </row>
    <row r="887" hidden="1">
      <c r="A887" s="7">
        <v>44113.335674953705</v>
      </c>
      <c r="B887" s="8" t="s">
        <v>126</v>
      </c>
      <c r="C887" s="8">
        <v>22063.0</v>
      </c>
      <c r="D887" s="8" t="s">
        <v>69</v>
      </c>
      <c r="F887" s="8" t="s">
        <v>185</v>
      </c>
      <c r="G887" s="8">
        <v>3579.0</v>
      </c>
      <c r="H887" s="8" t="s">
        <v>29</v>
      </c>
      <c r="I887" s="8" t="s">
        <v>42</v>
      </c>
      <c r="L887" s="8" t="s">
        <v>31</v>
      </c>
      <c r="M887" s="8" t="s">
        <v>224</v>
      </c>
      <c r="N887" s="8"/>
      <c r="O887" s="8"/>
      <c r="P887" s="9">
        <v>44112.0</v>
      </c>
      <c r="Q887" s="10">
        <v>0.04166666666424135</v>
      </c>
      <c r="R887" s="11" t="str">
        <f t="shared" si="1"/>
        <v>Подготовка компонентов к пайке</v>
      </c>
      <c r="S887" s="16" t="str">
        <f>iferror(VLOOKUP(C887,'ФИО'!A:B,2,0),"учётный код не найден")</f>
        <v>Белоглазов Сергей Анатольевич</v>
      </c>
      <c r="T887" s="13" t="str">
        <f t="shared" si="2"/>
        <v>915-00070.A - Модуль телематики ТМ1 v3 (Сознательные машины)</v>
      </c>
      <c r="U887" s="8">
        <v>0.0</v>
      </c>
      <c r="V887" s="8">
        <v>0.0</v>
      </c>
      <c r="W887" s="21" t="str">
        <f t="shared" si="98"/>
        <v>Данные не заполены</v>
      </c>
      <c r="X887" s="15" t="str">
        <f t="shared" si="99"/>
        <v>Данные не заполены</v>
      </c>
      <c r="Y887" s="15">
        <f t="shared" si="100"/>
        <v>0</v>
      </c>
    </row>
    <row r="888" hidden="1">
      <c r="A888" s="7">
        <v>44116.81703111111</v>
      </c>
      <c r="B888" s="8" t="s">
        <v>127</v>
      </c>
      <c r="C888" s="8">
        <v>22574.0</v>
      </c>
      <c r="D888" s="8" t="s">
        <v>27</v>
      </c>
      <c r="E888" s="8" t="s">
        <v>67</v>
      </c>
      <c r="G888" s="8">
        <v>3750.0</v>
      </c>
      <c r="H888" s="8" t="s">
        <v>45</v>
      </c>
      <c r="K888" s="8" t="s">
        <v>46</v>
      </c>
      <c r="L888" s="8" t="s">
        <v>37</v>
      </c>
      <c r="P888" s="9">
        <v>44116.0</v>
      </c>
      <c r="Q888" s="10">
        <v>0.375</v>
      </c>
      <c r="R888" s="11" t="str">
        <f t="shared" si="1"/>
        <v>Сборка на линии Prim</v>
      </c>
      <c r="S888" s="16" t="str">
        <f>iferror(VLOOKUP(C888,'ФИО'!A:B,2,0),"учётный код не найден")</f>
        <v>Шапенков Геннадий Михайлович</v>
      </c>
      <c r="T888" s="11" t="str">
        <f t="shared" si="2"/>
        <v>ПУ 910-00349.A "Печатный узел основного блока E96 4LIN"</v>
      </c>
      <c r="U888" s="8">
        <v>0.0</v>
      </c>
      <c r="V888" s="8">
        <v>0.0</v>
      </c>
      <c r="W888" s="17" t="str">
        <f t="shared" si="98"/>
        <v>Данные не заполены</v>
      </c>
      <c r="X888" s="14" t="str">
        <f t="shared" si="99"/>
        <v>Данные не заполены</v>
      </c>
      <c r="Y888" s="15">
        <f t="shared" si="100"/>
        <v>0</v>
      </c>
    </row>
    <row r="889" hidden="1">
      <c r="A889" s="7">
        <v>44121.34416765046</v>
      </c>
      <c r="B889" s="8" t="s">
        <v>126</v>
      </c>
      <c r="C889" s="8">
        <v>60000.0</v>
      </c>
      <c r="D889" s="8" t="s">
        <v>69</v>
      </c>
      <c r="F889" s="8" t="s">
        <v>185</v>
      </c>
      <c r="G889" s="8">
        <v>3579.0</v>
      </c>
      <c r="H889" s="8" t="s">
        <v>29</v>
      </c>
      <c r="I889" s="8" t="s">
        <v>42</v>
      </c>
      <c r="L889" s="8" t="s">
        <v>31</v>
      </c>
      <c r="M889" s="8" t="s">
        <v>225</v>
      </c>
      <c r="P889" s="9">
        <v>44120.0</v>
      </c>
      <c r="Q889" s="10">
        <v>0.08333333333575865</v>
      </c>
      <c r="R889" s="11" t="str">
        <f t="shared" si="1"/>
        <v>Подготовка компонентов к пайке</v>
      </c>
      <c r="S889" s="12" t="str">
        <f>iferror(VLOOKUP(C889,'ФИО'!A:B,2,0),"учётный код не найден")</f>
        <v>THT</v>
      </c>
      <c r="T889" s="11" t="str">
        <f t="shared" si="2"/>
        <v>915-00070.A - Модуль телематики ТМ1 v3 (Сознательные машины)</v>
      </c>
      <c r="U889" s="8">
        <v>0.0</v>
      </c>
      <c r="V889" s="8">
        <v>0.0</v>
      </c>
      <c r="W889" s="21" t="str">
        <f t="shared" si="98"/>
        <v>Данные не заполены</v>
      </c>
      <c r="X889" s="15" t="str">
        <f t="shared" si="99"/>
        <v>Данные не заполены</v>
      </c>
      <c r="Y889" s="15">
        <f t="shared" si="100"/>
        <v>0</v>
      </c>
    </row>
    <row r="890" hidden="1">
      <c r="A890" s="7">
        <v>44129.32215653935</v>
      </c>
      <c r="B890" s="8" t="s">
        <v>126</v>
      </c>
      <c r="C890" s="8">
        <v>22063.0</v>
      </c>
      <c r="D890" s="8" t="s">
        <v>69</v>
      </c>
      <c r="F890" s="8" t="s">
        <v>185</v>
      </c>
      <c r="G890" s="8">
        <v>3047.0</v>
      </c>
      <c r="H890" s="8" t="s">
        <v>29</v>
      </c>
      <c r="I890" s="8" t="s">
        <v>77</v>
      </c>
      <c r="L890" s="8" t="s">
        <v>31</v>
      </c>
      <c r="M890" s="8" t="s">
        <v>34</v>
      </c>
      <c r="P890" s="9">
        <v>44128.0</v>
      </c>
      <c r="Q890" s="10">
        <v>0.04166666666424135</v>
      </c>
      <c r="R890" s="11" t="str">
        <f t="shared" si="1"/>
        <v>Подготовка компонентов к пайке</v>
      </c>
      <c r="S890" s="12" t="str">
        <f>iferror(VLOOKUP(C890,'ФИО'!A:B,2,0),"учётный код не найден")</f>
        <v>Белоглазов Сергей Анатольевич</v>
      </c>
      <c r="T890" s="13" t="str">
        <f t="shared" si="2"/>
        <v>915-00081.A-Модуль Трик8 (Кибертех)</v>
      </c>
      <c r="U890" s="8">
        <v>0.0</v>
      </c>
      <c r="V890" s="8">
        <v>0.0</v>
      </c>
      <c r="W890" s="17" t="str">
        <f t="shared" si="98"/>
        <v>Данные не заполены</v>
      </c>
      <c r="X890" s="14" t="str">
        <f t="shared" si="99"/>
        <v>Данные не заполены</v>
      </c>
      <c r="Y890" s="15">
        <f t="shared" si="100"/>
        <v>0</v>
      </c>
    </row>
    <row r="891" hidden="1">
      <c r="A891" s="7">
        <v>44117.81771773148</v>
      </c>
      <c r="B891" s="8" t="s">
        <v>127</v>
      </c>
      <c r="C891" s="8">
        <v>22574.0</v>
      </c>
      <c r="D891" s="8" t="s">
        <v>27</v>
      </c>
      <c r="E891" s="8" t="s">
        <v>67</v>
      </c>
      <c r="G891" s="8">
        <v>3622.0</v>
      </c>
      <c r="H891" s="8" t="s">
        <v>29</v>
      </c>
      <c r="I891" s="8" t="s">
        <v>90</v>
      </c>
      <c r="L891" s="8" t="s">
        <v>37</v>
      </c>
      <c r="P891" s="9">
        <v>44117.0</v>
      </c>
      <c r="Q891" s="10">
        <v>0.20833333333575865</v>
      </c>
      <c r="R891" s="11" t="str">
        <f t="shared" si="1"/>
        <v>Сборка на линии Prim</v>
      </c>
      <c r="S891" s="16" t="str">
        <f>iferror(VLOOKUP(C891,'ФИО'!A:B,2,0),"учётный код не найден")</f>
        <v>Шапенков Геннадий Михайлович</v>
      </c>
      <c r="T891" s="11" t="str">
        <f t="shared" si="2"/>
        <v>915-00124.A - Tioga Pass_v1.1 (Гагар.ин)</v>
      </c>
      <c r="U891" s="8">
        <v>0.0</v>
      </c>
      <c r="V891" s="8">
        <v>0.0</v>
      </c>
      <c r="W891" s="17" t="str">
        <f t="shared" si="98"/>
        <v>Данные не заполены</v>
      </c>
      <c r="X891" s="14" t="str">
        <f t="shared" si="99"/>
        <v>Данные не заполены</v>
      </c>
      <c r="Y891" s="15">
        <f t="shared" si="100"/>
        <v>0</v>
      </c>
    </row>
    <row r="892" hidden="1">
      <c r="A892" s="7">
        <v>44125.80872084491</v>
      </c>
      <c r="B892" s="8" t="s">
        <v>127</v>
      </c>
      <c r="C892" s="8">
        <v>22574.0</v>
      </c>
      <c r="D892" s="8" t="s">
        <v>27</v>
      </c>
      <c r="E892" s="8" t="s">
        <v>67</v>
      </c>
      <c r="G892" s="8">
        <v>3253.0</v>
      </c>
      <c r="H892" s="8" t="s">
        <v>29</v>
      </c>
      <c r="I892" s="8" t="s">
        <v>95</v>
      </c>
      <c r="L892" s="8" t="s">
        <v>37</v>
      </c>
      <c r="P892" s="9">
        <v>44125.0</v>
      </c>
      <c r="Q892" s="10">
        <v>0.45833333333575865</v>
      </c>
      <c r="R892" s="11" t="str">
        <f t="shared" si="1"/>
        <v>Сборка на линии Prim</v>
      </c>
      <c r="S892" s="16" t="str">
        <f>iferror(VLOOKUP(C892,'ФИО'!A:B,2,0),"учётный код не найден")</f>
        <v>Шапенков Геннадий Михайлович</v>
      </c>
      <c r="T892" s="11" t="str">
        <f t="shared" si="2"/>
        <v>915-00095.A - ПКД-8В-1 АСЛБ.467249.108 (Квант)</v>
      </c>
      <c r="U892" s="8">
        <v>0.0</v>
      </c>
      <c r="V892" s="8">
        <v>0.0</v>
      </c>
      <c r="W892" s="17" t="str">
        <f t="shared" si="98"/>
        <v>Данные не заполены</v>
      </c>
      <c r="X892" s="14" t="str">
        <f t="shared" si="99"/>
        <v>Данные не заполены</v>
      </c>
      <c r="Y892" s="15">
        <f t="shared" si="100"/>
        <v>0</v>
      </c>
    </row>
    <row r="893" hidden="1">
      <c r="A893" s="7">
        <v>44108.8219968287</v>
      </c>
      <c r="B893" s="8" t="s">
        <v>127</v>
      </c>
      <c r="C893" s="8">
        <v>22574.0</v>
      </c>
      <c r="D893" s="8" t="s">
        <v>27</v>
      </c>
      <c r="E893" s="8" t="s">
        <v>88</v>
      </c>
      <c r="G893" s="8">
        <v>3706.0</v>
      </c>
      <c r="H893" s="8" t="s">
        <v>45</v>
      </c>
      <c r="K893" s="8" t="s">
        <v>91</v>
      </c>
      <c r="L893" s="8" t="s">
        <v>37</v>
      </c>
      <c r="P893" s="9">
        <v>44108.0</v>
      </c>
      <c r="Q893" s="10">
        <v>0.20833333333575865</v>
      </c>
      <c r="R893" s="11" t="str">
        <f t="shared" si="1"/>
        <v>Сборка на линии Sec</v>
      </c>
      <c r="S893" s="16" t="str">
        <f>iferror(VLOOKUP(C893,'ФИО'!A:B,2,0),"учётный код не найден")</f>
        <v>Шапенков Геннадий Михайлович</v>
      </c>
      <c r="T893" s="11" t="str">
        <f t="shared" si="2"/>
        <v>ПУ Сигма 10/15 910-00080.D</v>
      </c>
      <c r="U893" s="8">
        <v>0.0</v>
      </c>
      <c r="V893" s="8">
        <v>0.0</v>
      </c>
      <c r="W893" s="21" t="str">
        <f t="shared" si="98"/>
        <v>Данные не заполены</v>
      </c>
      <c r="X893" s="15" t="str">
        <f t="shared" si="99"/>
        <v>Данные не заполены</v>
      </c>
      <c r="Y893" s="15">
        <f t="shared" si="100"/>
        <v>0</v>
      </c>
    </row>
    <row r="894" hidden="1">
      <c r="A894" s="7">
        <v>44113.30500302083</v>
      </c>
      <c r="B894" s="8" t="s">
        <v>126</v>
      </c>
      <c r="C894" s="8">
        <v>21171.0</v>
      </c>
      <c r="D894" s="8" t="s">
        <v>27</v>
      </c>
      <c r="E894" s="8" t="s">
        <v>65</v>
      </c>
      <c r="G894" s="8">
        <v>3238.0</v>
      </c>
      <c r="H894" s="8" t="s">
        <v>29</v>
      </c>
      <c r="I894" s="8" t="s">
        <v>43</v>
      </c>
      <c r="L894" s="8" t="s">
        <v>31</v>
      </c>
      <c r="M894" s="8" t="s">
        <v>34</v>
      </c>
      <c r="N894" s="8"/>
      <c r="O894" s="8"/>
      <c r="P894" s="9">
        <v>44111.0</v>
      </c>
      <c r="Q894" s="10">
        <v>0.1875</v>
      </c>
      <c r="R894" s="11" t="str">
        <f t="shared" si="1"/>
        <v>Проверка комплектации</v>
      </c>
      <c r="S894" s="16" t="str">
        <f>iferror(VLOOKUP(C894,'ФИО'!A:B,2,0),"учётный код не найден")</f>
        <v>Муртищева Ольга Валентиновна</v>
      </c>
      <c r="T894" s="13" t="str">
        <f t="shared" si="2"/>
        <v>915-00097.A - ПКД-8В-3 АСЛБ.467249.110 (Квант)</v>
      </c>
      <c r="U894" s="8">
        <v>0.0</v>
      </c>
      <c r="V894" s="8">
        <v>0.0</v>
      </c>
      <c r="W894" s="21" t="str">
        <f t="shared" si="98"/>
        <v>Данные не заполены</v>
      </c>
      <c r="X894" s="15" t="str">
        <f t="shared" si="99"/>
        <v>Данные не заполены</v>
      </c>
      <c r="Y894" s="15">
        <f t="shared" si="100"/>
        <v>0</v>
      </c>
    </row>
    <row r="895" hidden="1">
      <c r="A895" s="7">
        <v>44113.326952812495</v>
      </c>
      <c r="B895" s="8" t="s">
        <v>126</v>
      </c>
      <c r="C895" s="8">
        <v>21171.0</v>
      </c>
      <c r="D895" s="8" t="s">
        <v>27</v>
      </c>
      <c r="E895" s="8" t="s">
        <v>65</v>
      </c>
      <c r="G895" s="8">
        <v>3750.0</v>
      </c>
      <c r="H895" s="8" t="s">
        <v>45</v>
      </c>
      <c r="K895" s="8" t="s">
        <v>46</v>
      </c>
      <c r="L895" s="8" t="s">
        <v>31</v>
      </c>
      <c r="M895" s="8" t="s">
        <v>34</v>
      </c>
      <c r="N895" s="8"/>
      <c r="O895" s="8"/>
      <c r="P895" s="9">
        <v>44112.0</v>
      </c>
      <c r="Q895" s="10">
        <v>0.41666666666424135</v>
      </c>
      <c r="R895" s="11" t="str">
        <f t="shared" si="1"/>
        <v>Проверка комплектации</v>
      </c>
      <c r="S895" s="16" t="str">
        <f>iferror(VLOOKUP(C895,'ФИО'!A:B,2,0),"учётный код не найден")</f>
        <v>Муртищева Ольга Валентиновна</v>
      </c>
      <c r="T895" s="13" t="str">
        <f t="shared" si="2"/>
        <v>ПУ 910-00349.A "Печатный узел основного блока E96 4LIN"</v>
      </c>
      <c r="U895" s="8">
        <v>0.0</v>
      </c>
      <c r="V895" s="8">
        <v>0.0</v>
      </c>
      <c r="W895" s="21" t="str">
        <f t="shared" si="98"/>
        <v>Данные не заполены</v>
      </c>
      <c r="X895" s="15" t="str">
        <f t="shared" si="99"/>
        <v>Данные не заполены</v>
      </c>
      <c r="Y895" s="15">
        <f t="shared" si="100"/>
        <v>0</v>
      </c>
    </row>
    <row r="896" hidden="1">
      <c r="A896" s="7">
        <v>44124.814717824076</v>
      </c>
      <c r="B896" s="8" t="s">
        <v>127</v>
      </c>
      <c r="C896" s="8">
        <v>22574.0</v>
      </c>
      <c r="D896" s="8" t="s">
        <v>27</v>
      </c>
      <c r="E896" s="8" t="s">
        <v>88</v>
      </c>
      <c r="G896" s="8">
        <v>3754.0</v>
      </c>
      <c r="H896" s="8" t="s">
        <v>45</v>
      </c>
      <c r="K896" s="8" t="s">
        <v>124</v>
      </c>
      <c r="L896" s="8" t="s">
        <v>37</v>
      </c>
      <c r="P896" s="9">
        <v>44124.0</v>
      </c>
      <c r="Q896" s="10">
        <v>0.20833333333575865</v>
      </c>
      <c r="R896" s="11" t="str">
        <f t="shared" si="1"/>
        <v>Сборка на линии Sec</v>
      </c>
      <c r="S896" s="16" t="str">
        <f>iferror(VLOOKUP(C896,'ФИО'!A:B,2,0),"учётный код не найден")</f>
        <v>Шапенков Геннадий Михайлович</v>
      </c>
      <c r="T896" s="11" t="str">
        <f t="shared" si="2"/>
        <v>ПУ 910-00120.D - Печатный узел модуля 2CAN+LIN</v>
      </c>
      <c r="U896" s="8">
        <v>0.0</v>
      </c>
      <c r="V896" s="8">
        <v>0.0</v>
      </c>
      <c r="W896" s="17" t="str">
        <f t="shared" si="98"/>
        <v>Данные не заполены</v>
      </c>
      <c r="X896" s="14" t="str">
        <f t="shared" si="99"/>
        <v>Данные не заполены</v>
      </c>
      <c r="Y896" s="15">
        <f t="shared" si="100"/>
        <v>0</v>
      </c>
    </row>
    <row r="897" hidden="1">
      <c r="A897" s="7">
        <v>44121.35838875</v>
      </c>
      <c r="B897" s="8" t="s">
        <v>26</v>
      </c>
      <c r="C897" s="8">
        <v>50000.0</v>
      </c>
      <c r="D897" s="8" t="s">
        <v>27</v>
      </c>
      <c r="E897" s="8" t="s">
        <v>67</v>
      </c>
      <c r="G897" s="8">
        <v>3649.0</v>
      </c>
      <c r="H897" s="8" t="s">
        <v>29</v>
      </c>
      <c r="I897" s="8" t="s">
        <v>33</v>
      </c>
      <c r="L897" s="8" t="s">
        <v>37</v>
      </c>
      <c r="N897" s="8">
        <v>4.0</v>
      </c>
      <c r="O897" s="8">
        <v>54.0</v>
      </c>
      <c r="P897" s="9">
        <v>44120.0</v>
      </c>
      <c r="Q897" s="10">
        <v>0.0</v>
      </c>
      <c r="R897" s="11" t="str">
        <f t="shared" si="1"/>
        <v>Сборка на линии Prim</v>
      </c>
      <c r="S897" s="16" t="str">
        <f>iferror(VLOOKUP(C897,'ФИО'!A:B,2,0),"учётный код не найден")</f>
        <v>SMT</v>
      </c>
      <c r="T897" s="13" t="str">
        <f t="shared" si="2"/>
        <v>ssfp2.2 (Метротек)</v>
      </c>
      <c r="U897" s="8">
        <v>20.0</v>
      </c>
      <c r="V897" s="8">
        <v>0.0</v>
      </c>
      <c r="W897" s="17">
        <f t="shared" si="98"/>
        <v>1991.733333</v>
      </c>
      <c r="X897" s="14" t="str">
        <f t="shared" si="99"/>
        <v>Данные не заполены</v>
      </c>
      <c r="Y897" s="15">
        <f t="shared" si="100"/>
        <v>0</v>
      </c>
      <c r="Z897" s="8" t="s">
        <v>226</v>
      </c>
    </row>
    <row r="898" hidden="1">
      <c r="A898" s="7">
        <v>44121.383118831014</v>
      </c>
      <c r="B898" s="8" t="s">
        <v>26</v>
      </c>
      <c r="C898" s="8">
        <v>60000.0</v>
      </c>
      <c r="D898" s="8" t="s">
        <v>69</v>
      </c>
      <c r="F898" s="8" t="s">
        <v>72</v>
      </c>
      <c r="G898" s="8">
        <v>3579.0</v>
      </c>
      <c r="H898" s="8" t="s">
        <v>29</v>
      </c>
      <c r="I898" s="8" t="s">
        <v>42</v>
      </c>
      <c r="L898" s="8" t="s">
        <v>37</v>
      </c>
      <c r="N898" s="8">
        <v>3.0</v>
      </c>
      <c r="O898" s="8">
        <v>78.0</v>
      </c>
      <c r="P898" s="9">
        <v>44120.0</v>
      </c>
      <c r="Q898" s="10">
        <v>0.08333333333575865</v>
      </c>
      <c r="R898" s="11" t="str">
        <f t="shared" si="1"/>
        <v>Пайка компонентов PRI</v>
      </c>
      <c r="S898" s="12" t="str">
        <f>iferror(VLOOKUP(C898,'ФИО'!A:B,2,0),"учётный код не найден")</f>
        <v>THT</v>
      </c>
      <c r="T898" s="13" t="str">
        <f t="shared" si="2"/>
        <v>915-00070.A - Модуль телематики ТМ1 v3 (Сознательные машины)</v>
      </c>
      <c r="U898" s="8">
        <v>162.0</v>
      </c>
      <c r="V898" s="8">
        <v>0.0</v>
      </c>
      <c r="W898" s="17">
        <f t="shared" si="98"/>
        <v>1034.169231</v>
      </c>
      <c r="X898" s="14">
        <f t="shared" si="99"/>
        <v>0.8615611193</v>
      </c>
      <c r="Y898" s="15">
        <f t="shared" si="100"/>
        <v>0</v>
      </c>
      <c r="Z898" s="8" t="s">
        <v>227</v>
      </c>
    </row>
    <row r="899" hidden="1">
      <c r="A899" s="7">
        <v>44121.38472825232</v>
      </c>
      <c r="B899" s="8" t="s">
        <v>26</v>
      </c>
      <c r="C899" s="8">
        <v>60000.0</v>
      </c>
      <c r="D899" s="8" t="s">
        <v>69</v>
      </c>
      <c r="F899" s="8" t="s">
        <v>72</v>
      </c>
      <c r="G899" s="8">
        <v>3234.0</v>
      </c>
      <c r="H899" s="8" t="s">
        <v>29</v>
      </c>
      <c r="I899" s="8" t="s">
        <v>135</v>
      </c>
      <c r="L899" s="8" t="s">
        <v>37</v>
      </c>
      <c r="N899" s="8">
        <v>1.0</v>
      </c>
      <c r="O899" s="8">
        <v>170.0</v>
      </c>
      <c r="P899" s="9">
        <v>44120.0</v>
      </c>
      <c r="Q899" s="10">
        <v>0.010416666664241347</v>
      </c>
      <c r="R899" s="11" t="str">
        <f t="shared" si="1"/>
        <v>Пайка компонентов PRI</v>
      </c>
      <c r="S899" s="12" t="str">
        <f>iferror(VLOOKUP(C899,'ФИО'!A:B,2,0),"учётный код не найден")</f>
        <v>THT</v>
      </c>
      <c r="T899" s="13" t="str">
        <f t="shared" si="2"/>
        <v>915-00101.A - ПКД-9В АСЛБ.467249.107 (Квант)</v>
      </c>
      <c r="U899" s="8">
        <v>4.0</v>
      </c>
      <c r="V899" s="8">
        <v>0.0</v>
      </c>
      <c r="W899" s="17">
        <f t="shared" si="98"/>
        <v>158.1670588</v>
      </c>
      <c r="X899" s="14">
        <f t="shared" si="99"/>
        <v>1.112747505</v>
      </c>
      <c r="Y899" s="15">
        <f t="shared" si="100"/>
        <v>0</v>
      </c>
    </row>
    <row r="900">
      <c r="A900" s="7">
        <v>44121.38410098379</v>
      </c>
      <c r="B900" s="8" t="s">
        <v>26</v>
      </c>
      <c r="C900" s="8">
        <v>60000.0</v>
      </c>
      <c r="D900" s="8" t="s">
        <v>69</v>
      </c>
      <c r="F900" s="8" t="s">
        <v>72</v>
      </c>
      <c r="G900" s="8">
        <v>3750.0</v>
      </c>
      <c r="H900" s="8" t="s">
        <v>45</v>
      </c>
      <c r="K900" s="8" t="s">
        <v>46</v>
      </c>
      <c r="L900" s="8" t="s">
        <v>37</v>
      </c>
      <c r="N900" s="8">
        <v>4.0</v>
      </c>
      <c r="O900" s="8">
        <v>100.0</v>
      </c>
      <c r="P900" s="9">
        <v>44120.0</v>
      </c>
      <c r="Q900" s="10">
        <v>0.1875</v>
      </c>
      <c r="R900" s="11" t="str">
        <f t="shared" si="1"/>
        <v>Пайка компонентов PRI</v>
      </c>
      <c r="S900" s="12" t="str">
        <f>iferror(VLOOKUP(C900,'ФИО'!A:B,2,0),"учётный код не найден")</f>
        <v>THT</v>
      </c>
      <c r="T900" s="13" t="str">
        <f t="shared" si="2"/>
        <v>ПУ 910-00349.A "Печатный узел основного блока E96 4LIN"</v>
      </c>
      <c r="U900" s="8">
        <v>556.0</v>
      </c>
      <c r="V900" s="8">
        <v>0.0</v>
      </c>
      <c r="W900" s="17">
        <f t="shared" si="98"/>
        <v>1075.536</v>
      </c>
      <c r="X900" s="14">
        <f t="shared" si="99"/>
        <v>1.263659339</v>
      </c>
      <c r="Y900" s="15">
        <f t="shared" si="100"/>
        <v>0</v>
      </c>
    </row>
    <row r="901" hidden="1">
      <c r="A901" s="7">
        <v>44121.38537120371</v>
      </c>
      <c r="B901" s="8" t="s">
        <v>26</v>
      </c>
      <c r="C901" s="8">
        <v>60000.0</v>
      </c>
      <c r="D901" s="8" t="s">
        <v>69</v>
      </c>
      <c r="F901" s="8" t="s">
        <v>80</v>
      </c>
      <c r="G901" s="8">
        <v>2796.0</v>
      </c>
      <c r="H901" s="8" t="s">
        <v>29</v>
      </c>
      <c r="I901" s="8" t="s">
        <v>183</v>
      </c>
      <c r="L901" s="8" t="s">
        <v>37</v>
      </c>
      <c r="N901" s="8">
        <v>8.0</v>
      </c>
      <c r="O901" s="8">
        <v>320.0</v>
      </c>
      <c r="P901" s="9">
        <v>44120.0</v>
      </c>
      <c r="Q901" s="10">
        <v>0.08333333333575865</v>
      </c>
      <c r="R901" s="11" t="str">
        <f t="shared" si="1"/>
        <v>Пайка компонентов SEC</v>
      </c>
      <c r="S901" s="12" t="str">
        <f>iferror(VLOOKUP(C901,'ФИО'!A:B,2,0),"учётный код не найден")</f>
        <v>THT</v>
      </c>
      <c r="T901" s="13" t="str">
        <f t="shared" si="2"/>
        <v>IKZ_35_v1_1-ANALOG (Антракс)</v>
      </c>
      <c r="U901" s="8">
        <v>112.0</v>
      </c>
      <c r="V901" s="8">
        <v>0.0</v>
      </c>
      <c r="W901" s="17">
        <f t="shared" si="98"/>
        <v>672.21</v>
      </c>
      <c r="X901" s="14">
        <f t="shared" si="99"/>
        <v>0.9163802978</v>
      </c>
      <c r="Y901" s="15">
        <f t="shared" si="100"/>
        <v>0</v>
      </c>
      <c r="Z901" s="8" t="s">
        <v>228</v>
      </c>
    </row>
    <row r="902" hidden="1">
      <c r="A902" s="7">
        <v>44120.81712760417</v>
      </c>
      <c r="B902" s="8" t="s">
        <v>26</v>
      </c>
      <c r="C902" s="8">
        <v>21475.0</v>
      </c>
      <c r="D902" s="8" t="s">
        <v>27</v>
      </c>
      <c r="E902" s="8" t="s">
        <v>68</v>
      </c>
      <c r="L902" s="8" t="s">
        <v>31</v>
      </c>
      <c r="M902" s="8" t="s">
        <v>34</v>
      </c>
      <c r="P902" s="9">
        <v>44120.0</v>
      </c>
      <c r="Q902" s="10">
        <v>0.08333333333575865</v>
      </c>
      <c r="R902" s="11" t="str">
        <f t="shared" si="1"/>
        <v>Прохождение обучения</v>
      </c>
      <c r="S902" s="16" t="str">
        <f>iferror(VLOOKUP(C902,'ФИО'!A:B,2,0),"учётный код не найден")</f>
        <v>Байрамашвили Альберт Зурабович</v>
      </c>
      <c r="T902" s="13" t="str">
        <f t="shared" si="2"/>
        <v/>
      </c>
      <c r="W902" s="17" t="str">
        <f t="shared" si="98"/>
        <v>Данные не заполены</v>
      </c>
      <c r="X902" s="14" t="str">
        <f t="shared" si="99"/>
        <v>Данные не заполены</v>
      </c>
      <c r="Y902" s="15">
        <f t="shared" si="100"/>
        <v>0</v>
      </c>
    </row>
    <row r="903" hidden="1">
      <c r="A903" s="7">
        <v>44125.313690462965</v>
      </c>
      <c r="B903" s="8" t="s">
        <v>38</v>
      </c>
      <c r="C903" s="8">
        <v>21475.0</v>
      </c>
      <c r="D903" s="8" t="s">
        <v>27</v>
      </c>
      <c r="E903" s="8" t="s">
        <v>68</v>
      </c>
      <c r="L903" s="8" t="s">
        <v>31</v>
      </c>
      <c r="M903" s="8" t="s">
        <v>34</v>
      </c>
      <c r="P903" s="9">
        <v>44124.0</v>
      </c>
      <c r="Q903" s="10">
        <v>0.020833333335758653</v>
      </c>
      <c r="R903" s="11" t="str">
        <f t="shared" si="1"/>
        <v>Прохождение обучения</v>
      </c>
      <c r="S903" s="16" t="str">
        <f>iferror(VLOOKUP(C903,'ФИО'!A:B,2,0),"учётный код не найден")</f>
        <v>Байрамашвили Альберт Зурабович</v>
      </c>
      <c r="T903" s="13" t="str">
        <f t="shared" si="2"/>
        <v/>
      </c>
      <c r="X903" s="14" t="str">
        <f t="shared" si="99"/>
        <v>Данные не заполены</v>
      </c>
      <c r="Y903" s="15">
        <f t="shared" si="100"/>
        <v>0</v>
      </c>
    </row>
    <row r="904" hidden="1">
      <c r="A904" s="7">
        <v>44132.31057940972</v>
      </c>
      <c r="B904" s="8" t="s">
        <v>38</v>
      </c>
      <c r="C904" s="8">
        <v>21475.0</v>
      </c>
      <c r="D904" s="8" t="s">
        <v>27</v>
      </c>
      <c r="E904" s="8" t="s">
        <v>68</v>
      </c>
      <c r="L904" s="8" t="s">
        <v>31</v>
      </c>
      <c r="M904" s="8" t="s">
        <v>34</v>
      </c>
      <c r="P904" s="9">
        <v>44131.0</v>
      </c>
      <c r="Q904" s="10">
        <v>0.03125</v>
      </c>
      <c r="R904" s="11" t="str">
        <f t="shared" si="1"/>
        <v>Прохождение обучения</v>
      </c>
      <c r="S904" s="12" t="str">
        <f>iferror(VLOOKUP(C904,'ФИО'!A:B,2,0),"учётный код не найден")</f>
        <v>Байрамашвили Альберт Зурабович</v>
      </c>
      <c r="T904" s="13" t="str">
        <f t="shared" si="2"/>
        <v/>
      </c>
      <c r="X904" s="14" t="str">
        <f t="shared" si="99"/>
        <v>Данные не заполены</v>
      </c>
      <c r="Y904" s="15">
        <f t="shared" si="100"/>
        <v>0</v>
      </c>
    </row>
    <row r="905" hidden="1">
      <c r="A905" s="7">
        <v>44133.32317020833</v>
      </c>
      <c r="B905" s="8" t="s">
        <v>38</v>
      </c>
      <c r="C905" s="8">
        <v>21475.0</v>
      </c>
      <c r="D905" s="8" t="s">
        <v>27</v>
      </c>
      <c r="E905" s="8" t="s">
        <v>112</v>
      </c>
      <c r="G905" s="8">
        <v>3621.0</v>
      </c>
      <c r="H905" s="8" t="s">
        <v>29</v>
      </c>
      <c r="I905" s="8" t="s">
        <v>30</v>
      </c>
      <c r="L905" s="8" t="s">
        <v>31</v>
      </c>
      <c r="M905" s="8" t="s">
        <v>34</v>
      </c>
      <c r="P905" s="9">
        <v>44132.0</v>
      </c>
      <c r="Q905" s="10">
        <v>0.04166666666424135</v>
      </c>
      <c r="R905" s="11" t="str">
        <f t="shared" si="1"/>
        <v>Разрядка питателей Sec</v>
      </c>
      <c r="S905" s="12" t="str">
        <f>iferror(VLOOKUP(C905,'ФИО'!A:B,2,0),"учётный код не найден")</f>
        <v>Байрамашвили Альберт Зурабович</v>
      </c>
      <c r="T905" s="13" t="str">
        <f t="shared" si="2"/>
        <v>915-00121.A - Процессорный модуль РСЕН.469555.027 (КНС Групп) в ТС</v>
      </c>
      <c r="U905" s="8">
        <v>60.0</v>
      </c>
      <c r="V905" s="8">
        <v>0.0</v>
      </c>
      <c r="W905" s="8">
        <v>1320.0</v>
      </c>
      <c r="X905" s="14">
        <f t="shared" si="99"/>
        <v>0.5</v>
      </c>
      <c r="Y905" s="15">
        <f t="shared" si="100"/>
        <v>0</v>
      </c>
    </row>
    <row r="906" hidden="1">
      <c r="A906" s="7">
        <v>44105.83289039352</v>
      </c>
      <c r="B906" s="8" t="s">
        <v>26</v>
      </c>
      <c r="C906" s="8">
        <v>21475.0</v>
      </c>
      <c r="D906" s="18" t="s">
        <v>27</v>
      </c>
      <c r="E906" s="8" t="s">
        <v>67</v>
      </c>
      <c r="G906" s="18">
        <v>3233.0</v>
      </c>
      <c r="H906" s="8" t="s">
        <v>29</v>
      </c>
      <c r="I906" s="8" t="s">
        <v>60</v>
      </c>
      <c r="L906" s="18" t="s">
        <v>37</v>
      </c>
      <c r="P906" s="19">
        <v>44105.0</v>
      </c>
      <c r="Q906" s="20">
        <v>0.04166666666424135</v>
      </c>
      <c r="R906" s="13" t="str">
        <f t="shared" si="1"/>
        <v>Сборка на линии Prim</v>
      </c>
      <c r="S906" s="16" t="str">
        <f>iferror(VLOOKUP(C906,'ФИО'!A:B,2,0),"учётный код не найден")</f>
        <v>Байрамашвили Альберт Зурабович</v>
      </c>
      <c r="T906" s="13" t="str">
        <f t="shared" si="2"/>
        <v>915-00102.A - ПБОК-2В АСЛБ.465285.013 (Квант)</v>
      </c>
      <c r="U906" s="8">
        <v>0.0</v>
      </c>
      <c r="V906" s="8">
        <v>0.0</v>
      </c>
      <c r="W906" s="21" t="str">
        <f t="shared" ref="W906:W908" si="101">IFERROR((((38412/(ifs(O906&lt;35,35,O906&gt;34,O906)/N906)*0.7))),"Данные не заполены")</f>
        <v>Данные не заполены</v>
      </c>
      <c r="X906" s="15" t="str">
        <f t="shared" si="99"/>
        <v>Данные не заполены</v>
      </c>
      <c r="Y906" s="15">
        <f t="shared" si="100"/>
        <v>0</v>
      </c>
    </row>
    <row r="907" hidden="1">
      <c r="A907" s="7">
        <v>44109.32278070602</v>
      </c>
      <c r="B907" s="8" t="s">
        <v>38</v>
      </c>
      <c r="C907" s="8">
        <v>21475.0</v>
      </c>
      <c r="D907" s="8" t="s">
        <v>27</v>
      </c>
      <c r="E907" s="8" t="s">
        <v>67</v>
      </c>
      <c r="G907" s="8">
        <v>3233.0</v>
      </c>
      <c r="H907" s="8" t="s">
        <v>29</v>
      </c>
      <c r="I907" s="8" t="s">
        <v>60</v>
      </c>
      <c r="L907" s="8" t="s">
        <v>37</v>
      </c>
      <c r="P907" s="9">
        <v>44108.0</v>
      </c>
      <c r="Q907" s="10">
        <v>0.10416666666424135</v>
      </c>
      <c r="R907" s="11" t="str">
        <f t="shared" si="1"/>
        <v>Сборка на линии Prim</v>
      </c>
      <c r="S907" s="16" t="str">
        <f>iferror(VLOOKUP(C907,'ФИО'!A:B,2,0),"учётный код не найден")</f>
        <v>Байрамашвили Альберт Зурабович</v>
      </c>
      <c r="T907" s="13" t="str">
        <f t="shared" si="2"/>
        <v>915-00102.A - ПБОК-2В АСЛБ.465285.013 (Квант)</v>
      </c>
      <c r="U907" s="8">
        <v>0.0</v>
      </c>
      <c r="V907" s="8">
        <v>0.0</v>
      </c>
      <c r="W907" s="21" t="str">
        <f t="shared" si="101"/>
        <v>Данные не заполены</v>
      </c>
      <c r="X907" s="15" t="str">
        <f t="shared" si="99"/>
        <v>Данные не заполены</v>
      </c>
      <c r="Y907" s="15">
        <f t="shared" si="100"/>
        <v>0</v>
      </c>
    </row>
    <row r="908" hidden="1">
      <c r="A908" s="7">
        <v>44109.32963519676</v>
      </c>
      <c r="B908" s="8" t="s">
        <v>38</v>
      </c>
      <c r="C908" s="8">
        <v>21475.0</v>
      </c>
      <c r="D908" s="8" t="s">
        <v>27</v>
      </c>
      <c r="E908" s="8" t="s">
        <v>67</v>
      </c>
      <c r="G908" s="8">
        <v>3726.0</v>
      </c>
      <c r="H908" s="8" t="s">
        <v>45</v>
      </c>
      <c r="K908" s="8" t="s">
        <v>58</v>
      </c>
      <c r="L908" s="8" t="s">
        <v>37</v>
      </c>
      <c r="P908" s="9">
        <v>44108.0</v>
      </c>
      <c r="Q908" s="10">
        <v>0.13194444444525288</v>
      </c>
      <c r="R908" s="11" t="str">
        <f t="shared" si="1"/>
        <v>Сборка на линии Prim</v>
      </c>
      <c r="S908" s="16" t="str">
        <f>iferror(VLOOKUP(C908,'ФИО'!A:B,2,0),"учётный код не найден")</f>
        <v>Байрамашвили Альберт Зурабович</v>
      </c>
      <c r="T908" s="13" t="str">
        <f t="shared" si="2"/>
        <v>ПУ метки i95</v>
      </c>
      <c r="U908" s="8">
        <v>0.0</v>
      </c>
      <c r="V908" s="8">
        <v>0.0</v>
      </c>
      <c r="W908" s="21" t="str">
        <f t="shared" si="101"/>
        <v>Данные не заполены</v>
      </c>
      <c r="X908" s="15" t="str">
        <f t="shared" si="99"/>
        <v>Данные не заполены</v>
      </c>
      <c r="Y908" s="15">
        <f t="shared" si="100"/>
        <v>0</v>
      </c>
    </row>
    <row r="909" hidden="1">
      <c r="A909" s="7">
        <v>44125.31610871528</v>
      </c>
      <c r="B909" s="8" t="s">
        <v>38</v>
      </c>
      <c r="C909" s="8">
        <v>21803.0</v>
      </c>
      <c r="D909" s="8" t="s">
        <v>27</v>
      </c>
      <c r="E909" s="8" t="s">
        <v>68</v>
      </c>
      <c r="L909" s="8" t="s">
        <v>31</v>
      </c>
      <c r="M909" s="8" t="s">
        <v>34</v>
      </c>
      <c r="P909" s="9">
        <v>44124.0</v>
      </c>
      <c r="Q909" s="10">
        <v>0.020833333335758653</v>
      </c>
      <c r="R909" s="11" t="str">
        <f t="shared" si="1"/>
        <v>Прохождение обучения</v>
      </c>
      <c r="S909" s="16" t="str">
        <f>iferror(VLOOKUP(C909,'ФИО'!A:B,2,0),"учётный код не найден")</f>
        <v>Белоглазова Виктория Сергеевна</v>
      </c>
      <c r="T909" s="13" t="str">
        <f t="shared" si="2"/>
        <v/>
      </c>
      <c r="X909" s="14" t="str">
        <f t="shared" si="99"/>
        <v>Данные не заполены</v>
      </c>
      <c r="Y909" s="15">
        <f t="shared" si="100"/>
        <v>0</v>
      </c>
    </row>
    <row r="910" hidden="1">
      <c r="A910" s="7">
        <v>44109.316535046295</v>
      </c>
      <c r="B910" s="8" t="s">
        <v>38</v>
      </c>
      <c r="C910" s="8">
        <v>21803.0</v>
      </c>
      <c r="D910" s="8" t="s">
        <v>27</v>
      </c>
      <c r="E910" s="8" t="s">
        <v>201</v>
      </c>
      <c r="G910" s="8">
        <v>3233.0</v>
      </c>
      <c r="H910" s="8" t="s">
        <v>29</v>
      </c>
      <c r="I910" s="8" t="s">
        <v>60</v>
      </c>
      <c r="L910" s="8" t="s">
        <v>31</v>
      </c>
      <c r="M910" s="8" t="s">
        <v>34</v>
      </c>
      <c r="N910" s="8"/>
      <c r="O910" s="8"/>
      <c r="P910" s="9">
        <v>44108.0</v>
      </c>
      <c r="Q910" s="10">
        <v>0.020833333335758653</v>
      </c>
      <c r="R910" s="11" t="str">
        <f t="shared" si="1"/>
        <v>Разрядка питателей Prim</v>
      </c>
      <c r="S910" s="16" t="str">
        <f>iferror(VLOOKUP(C910,'ФИО'!A:B,2,0),"учётный код не найден")</f>
        <v>Белоглазова Виктория Сергеевна</v>
      </c>
      <c r="T910" s="13" t="str">
        <f t="shared" si="2"/>
        <v>915-00102.A - ПБОК-2В АСЛБ.465285.013 (Квант)</v>
      </c>
      <c r="U910" s="8">
        <v>51.0</v>
      </c>
      <c r="V910" s="8">
        <v>0.0</v>
      </c>
      <c r="W910" s="21" t="str">
        <f t="shared" ref="W910:W915" si="102">IFERROR((((38412/(ifs(O910&lt;35,35,O910&gt;34,O910)/N910)*0.7))),"Данные не заполены")</f>
        <v>Данные не заполены</v>
      </c>
      <c r="X910" s="15" t="str">
        <f t="shared" si="99"/>
        <v>Данные не заполены</v>
      </c>
      <c r="Y910" s="15">
        <f t="shared" si="100"/>
        <v>0</v>
      </c>
      <c r="Z910" s="8" t="s">
        <v>229</v>
      </c>
    </row>
    <row r="911" hidden="1">
      <c r="A911" s="7">
        <v>44112.82393288195</v>
      </c>
      <c r="B911" s="8" t="s">
        <v>26</v>
      </c>
      <c r="C911" s="8">
        <v>21803.0</v>
      </c>
      <c r="D911" s="8" t="s">
        <v>27</v>
      </c>
      <c r="E911" s="8" t="s">
        <v>201</v>
      </c>
      <c r="G911" s="8">
        <v>3238.0</v>
      </c>
      <c r="H911" s="8" t="s">
        <v>29</v>
      </c>
      <c r="I911" s="8" t="s">
        <v>43</v>
      </c>
      <c r="L911" s="8" t="s">
        <v>31</v>
      </c>
      <c r="M911" s="8" t="s">
        <v>34</v>
      </c>
      <c r="N911" s="8"/>
      <c r="O911" s="8"/>
      <c r="P911" s="9">
        <v>44112.0</v>
      </c>
      <c r="Q911" s="10">
        <v>0.020833333335758653</v>
      </c>
      <c r="R911" s="11" t="str">
        <f t="shared" si="1"/>
        <v>Разрядка питателей Prim</v>
      </c>
      <c r="S911" s="16" t="str">
        <f>iferror(VLOOKUP(C911,'ФИО'!A:B,2,0),"учётный код не найден")</f>
        <v>Белоглазова Виктория Сергеевна</v>
      </c>
      <c r="T911" s="13" t="str">
        <f t="shared" si="2"/>
        <v>915-00097.A - ПКД-8В-3 АСЛБ.467249.110 (Квант)</v>
      </c>
      <c r="U911" s="8">
        <v>60.0</v>
      </c>
      <c r="V911" s="8">
        <v>0.0</v>
      </c>
      <c r="W911" s="21" t="str">
        <f t="shared" si="102"/>
        <v>Данные не заполены</v>
      </c>
      <c r="X911" s="15" t="str">
        <f t="shared" si="99"/>
        <v>Данные не заполены</v>
      </c>
      <c r="Y911" s="15">
        <f t="shared" si="100"/>
        <v>0</v>
      </c>
    </row>
    <row r="912" hidden="1">
      <c r="A912" s="7">
        <v>44117.322895868056</v>
      </c>
      <c r="B912" s="8" t="s">
        <v>38</v>
      </c>
      <c r="C912" s="8">
        <v>21803.0</v>
      </c>
      <c r="D912" s="8" t="s">
        <v>27</v>
      </c>
      <c r="E912" s="8" t="s">
        <v>201</v>
      </c>
      <c r="G912" s="8">
        <v>3750.0</v>
      </c>
      <c r="H912" s="8" t="s">
        <v>45</v>
      </c>
      <c r="K912" s="8" t="s">
        <v>46</v>
      </c>
      <c r="L912" s="8" t="s">
        <v>31</v>
      </c>
      <c r="M912" s="8" t="s">
        <v>34</v>
      </c>
      <c r="N912" s="8"/>
      <c r="O912" s="8"/>
      <c r="P912" s="9">
        <v>44116.0</v>
      </c>
      <c r="Q912" s="10">
        <v>0.04166666666424135</v>
      </c>
      <c r="R912" s="11" t="str">
        <f t="shared" si="1"/>
        <v>Разрядка питателей Prim</v>
      </c>
      <c r="S912" s="16" t="str">
        <f>iferror(VLOOKUP(C912,'ФИО'!A:B,2,0),"учётный код не найден")</f>
        <v>Белоглазова Виктория Сергеевна</v>
      </c>
      <c r="T912" s="13" t="str">
        <f t="shared" si="2"/>
        <v>ПУ 910-00349.A "Печатный узел основного блока E96 4LIN"</v>
      </c>
      <c r="U912" s="8">
        <v>120.0</v>
      </c>
      <c r="V912" s="8">
        <v>0.0</v>
      </c>
      <c r="W912" s="21" t="str">
        <f t="shared" si="102"/>
        <v>Данные не заполены</v>
      </c>
      <c r="X912" s="15" t="str">
        <f t="shared" si="99"/>
        <v>Данные не заполены</v>
      </c>
      <c r="Y912" s="15">
        <f t="shared" si="100"/>
        <v>0</v>
      </c>
    </row>
    <row r="913" hidden="1">
      <c r="A913" s="7">
        <v>44108.327938946764</v>
      </c>
      <c r="B913" s="8" t="s">
        <v>38</v>
      </c>
      <c r="C913" s="8">
        <v>21803.0</v>
      </c>
      <c r="D913" s="8" t="s">
        <v>27</v>
      </c>
      <c r="E913" s="8" t="s">
        <v>112</v>
      </c>
      <c r="G913" s="8">
        <v>3579.0</v>
      </c>
      <c r="H913" s="8" t="s">
        <v>29</v>
      </c>
      <c r="I913" s="8" t="s">
        <v>42</v>
      </c>
      <c r="L913" s="8" t="s">
        <v>31</v>
      </c>
      <c r="M913" s="8" t="s">
        <v>34</v>
      </c>
      <c r="N913" s="8"/>
      <c r="O913" s="8"/>
      <c r="P913" s="9">
        <v>44107.0</v>
      </c>
      <c r="Q913" s="10">
        <v>0.0034722222189884633</v>
      </c>
      <c r="R913" s="11" t="str">
        <f t="shared" si="1"/>
        <v>Разрядка питателей Sec</v>
      </c>
      <c r="S913" s="16" t="str">
        <f>iferror(VLOOKUP(C913,'ФИО'!A:B,2,0),"учётный код не найден")</f>
        <v>Белоглазова Виктория Сергеевна</v>
      </c>
      <c r="T913" s="13" t="str">
        <f t="shared" si="2"/>
        <v>915-00070.A - Модуль телематики ТМ1 v3 (Сознательные машины)</v>
      </c>
      <c r="U913" s="8">
        <v>10.0</v>
      </c>
      <c r="V913" s="8">
        <v>0.0</v>
      </c>
      <c r="W913" s="21" t="str">
        <f t="shared" si="102"/>
        <v>Данные не заполены</v>
      </c>
      <c r="X913" s="15" t="str">
        <f t="shared" si="99"/>
        <v>Данные не заполены</v>
      </c>
      <c r="Y913" s="15">
        <f t="shared" si="100"/>
        <v>0</v>
      </c>
    </row>
    <row r="914" hidden="1">
      <c r="A914" s="7">
        <v>44105.82675122685</v>
      </c>
      <c r="B914" s="8" t="s">
        <v>26</v>
      </c>
      <c r="C914" s="8">
        <v>21803.0</v>
      </c>
      <c r="D914" s="18" t="s">
        <v>27</v>
      </c>
      <c r="E914" s="8" t="s">
        <v>67</v>
      </c>
      <c r="G914" s="18">
        <v>3233.0</v>
      </c>
      <c r="H914" s="8" t="s">
        <v>29</v>
      </c>
      <c r="I914" s="8" t="s">
        <v>60</v>
      </c>
      <c r="L914" s="18" t="s">
        <v>31</v>
      </c>
      <c r="M914" s="8" t="s">
        <v>230</v>
      </c>
      <c r="N914" s="8"/>
      <c r="O914" s="8"/>
      <c r="P914" s="19">
        <v>44105.0</v>
      </c>
      <c r="Q914" s="20">
        <v>0.04166666666424135</v>
      </c>
      <c r="R914" s="13" t="str">
        <f t="shared" si="1"/>
        <v>Сборка на линии Prim</v>
      </c>
      <c r="S914" s="16" t="str">
        <f>iferror(VLOOKUP(C914,'ФИО'!A:B,2,0),"учётный код не найден")</f>
        <v>Белоглазова Виктория Сергеевна</v>
      </c>
      <c r="T914" s="13" t="str">
        <f t="shared" si="2"/>
        <v>915-00102.A - ПБОК-2В АСЛБ.465285.013 (Квант)</v>
      </c>
      <c r="U914" s="8">
        <v>0.0</v>
      </c>
      <c r="V914" s="8">
        <v>0.0</v>
      </c>
      <c r="W914" s="21" t="str">
        <f t="shared" si="102"/>
        <v>Данные не заполены</v>
      </c>
      <c r="X914" s="15" t="str">
        <f t="shared" si="99"/>
        <v>Данные не заполены</v>
      </c>
      <c r="Y914" s="15">
        <f t="shared" si="100"/>
        <v>0</v>
      </c>
    </row>
    <row r="915" hidden="1">
      <c r="A915" s="7">
        <v>44105.81386755787</v>
      </c>
      <c r="B915" s="8" t="s">
        <v>26</v>
      </c>
      <c r="C915" s="8">
        <v>21803.0</v>
      </c>
      <c r="D915" s="18" t="s">
        <v>27</v>
      </c>
      <c r="E915" s="8" t="s">
        <v>67</v>
      </c>
      <c r="G915" s="18">
        <v>3579.0</v>
      </c>
      <c r="H915" s="8" t="s">
        <v>29</v>
      </c>
      <c r="I915" s="8" t="s">
        <v>42</v>
      </c>
      <c r="L915" s="18" t="s">
        <v>37</v>
      </c>
      <c r="P915" s="19">
        <v>44105.0</v>
      </c>
      <c r="Q915" s="20">
        <v>0.08333333333575865</v>
      </c>
      <c r="R915" s="13" t="str">
        <f t="shared" si="1"/>
        <v>Сборка на линии Prim</v>
      </c>
      <c r="S915" s="16" t="str">
        <f>iferror(VLOOKUP(C915,'ФИО'!A:B,2,0),"учётный код не найден")</f>
        <v>Белоглазова Виктория Сергеевна</v>
      </c>
      <c r="T915" s="13" t="str">
        <f t="shared" si="2"/>
        <v>915-00070.A - Модуль телематики ТМ1 v3 (Сознательные машины)</v>
      </c>
      <c r="U915" s="8">
        <v>0.0</v>
      </c>
      <c r="V915" s="8">
        <v>0.0</v>
      </c>
      <c r="W915" s="21" t="str">
        <f t="shared" si="102"/>
        <v>Данные не заполены</v>
      </c>
      <c r="X915" s="15" t="str">
        <f t="shared" si="99"/>
        <v>Данные не заполены</v>
      </c>
      <c r="Y915" s="15">
        <f t="shared" si="100"/>
        <v>0</v>
      </c>
    </row>
    <row r="916" hidden="1">
      <c r="A916" s="7">
        <v>44128.82603329861</v>
      </c>
      <c r="B916" s="8" t="s">
        <v>26</v>
      </c>
      <c r="C916" s="8">
        <v>21752.0</v>
      </c>
      <c r="D916" s="8" t="s">
        <v>27</v>
      </c>
      <c r="E916" s="8" t="s">
        <v>100</v>
      </c>
      <c r="G916" s="8">
        <v>3804.0</v>
      </c>
      <c r="H916" s="8" t="s">
        <v>45</v>
      </c>
      <c r="K916" s="8" t="s">
        <v>52</v>
      </c>
      <c r="L916" s="8" t="s">
        <v>37</v>
      </c>
      <c r="P916" s="9">
        <v>44128.0</v>
      </c>
      <c r="Q916" s="10">
        <v>0.3125</v>
      </c>
      <c r="R916" s="11" t="str">
        <f t="shared" si="1"/>
        <v>Проверка плат на АОИ Sec</v>
      </c>
      <c r="S916" s="16" t="str">
        <f>iferror(VLOOKUP(C916,'ФИО'!A:B,2,0),"учётный код не найден")</f>
        <v>Егоров Александр Александрович</v>
      </c>
      <c r="T916" s="13" t="str">
        <f t="shared" si="2"/>
        <v>М17V2 (900-00018.D)_910-00023.H и ПУ 910-00012.I</v>
      </c>
      <c r="U916" s="8">
        <v>1894.0</v>
      </c>
      <c r="V916" s="8">
        <v>768.0</v>
      </c>
      <c r="X916" s="14" t="str">
        <f t="shared" si="99"/>
        <v>Данные не заполены</v>
      </c>
      <c r="Y916" s="15">
        <f t="shared" si="100"/>
        <v>0.4054910243</v>
      </c>
      <c r="Z916" s="8" t="s">
        <v>231</v>
      </c>
    </row>
    <row r="917" hidden="1">
      <c r="A917" s="7">
        <v>44109.3264150926</v>
      </c>
      <c r="B917" s="8" t="s">
        <v>38</v>
      </c>
      <c r="C917" s="8">
        <v>21752.0</v>
      </c>
      <c r="D917" s="8" t="s">
        <v>27</v>
      </c>
      <c r="E917" s="8" t="s">
        <v>195</v>
      </c>
      <c r="G917" s="8">
        <v>3726.0</v>
      </c>
      <c r="H917" s="8" t="s">
        <v>45</v>
      </c>
      <c r="K917" s="8" t="s">
        <v>58</v>
      </c>
      <c r="L917" s="8" t="s">
        <v>31</v>
      </c>
      <c r="M917" s="8" t="s">
        <v>34</v>
      </c>
      <c r="N917" s="8"/>
      <c r="O917" s="8"/>
      <c r="P917" s="9">
        <v>44108.0</v>
      </c>
      <c r="Q917" s="10">
        <v>0.020833333335758653</v>
      </c>
      <c r="R917" s="11" t="str">
        <f t="shared" si="1"/>
        <v>Проверка программы на АОИ PRI</v>
      </c>
      <c r="S917" s="16" t="str">
        <f>iferror(VLOOKUP(C917,'ФИО'!A:B,2,0),"учётный код не найден")</f>
        <v>Егоров Александр Александрович</v>
      </c>
      <c r="T917" s="13" t="str">
        <f t="shared" si="2"/>
        <v>ПУ метки i95</v>
      </c>
      <c r="U917" s="8">
        <v>0.0</v>
      </c>
      <c r="V917" s="8">
        <v>0.0</v>
      </c>
      <c r="W917" s="21" t="str">
        <f t="shared" ref="W917:W935" si="103">IFERROR((((38412/(ifs(O917&lt;35,35,O917&gt;34,O917)/N917)*0.7))),"Данные не заполены")</f>
        <v>Данные не заполены</v>
      </c>
      <c r="X917" s="15" t="str">
        <f t="shared" si="99"/>
        <v>Данные не заполены</v>
      </c>
      <c r="Y917" s="15">
        <f t="shared" si="100"/>
        <v>0</v>
      </c>
    </row>
    <row r="918" hidden="1">
      <c r="A918" s="7">
        <v>44113.86738590278</v>
      </c>
      <c r="B918" s="8" t="s">
        <v>26</v>
      </c>
      <c r="C918" s="8">
        <v>21752.0</v>
      </c>
      <c r="D918" s="8" t="s">
        <v>27</v>
      </c>
      <c r="E918" s="8" t="s">
        <v>68</v>
      </c>
      <c r="L918" s="8" t="s">
        <v>31</v>
      </c>
      <c r="M918" s="8" t="s">
        <v>34</v>
      </c>
      <c r="N918" s="8"/>
      <c r="O918" s="8"/>
      <c r="P918" s="9">
        <v>44113.0</v>
      </c>
      <c r="Q918" s="10">
        <v>0.04166666666424135</v>
      </c>
      <c r="R918" s="11" t="str">
        <f t="shared" si="1"/>
        <v>Прохождение обучения</v>
      </c>
      <c r="S918" s="16" t="str">
        <f>iferror(VLOOKUP(C918,'ФИО'!A:B,2,0),"учётный код не найден")</f>
        <v>Егоров Александр Александрович</v>
      </c>
      <c r="T918" s="13" t="str">
        <f t="shared" si="2"/>
        <v/>
      </c>
      <c r="W918" s="21" t="str">
        <f t="shared" si="103"/>
        <v>Данные не заполены</v>
      </c>
      <c r="X918" s="15" t="str">
        <f t="shared" si="99"/>
        <v>Данные не заполены</v>
      </c>
      <c r="Y918" s="15">
        <f t="shared" si="100"/>
        <v>0</v>
      </c>
    </row>
    <row r="919" hidden="1">
      <c r="A919" s="7">
        <v>44120.82742059028</v>
      </c>
      <c r="B919" s="8" t="s">
        <v>26</v>
      </c>
      <c r="C919" s="8">
        <v>21752.0</v>
      </c>
      <c r="D919" s="8" t="s">
        <v>27</v>
      </c>
      <c r="E919" s="8" t="s">
        <v>68</v>
      </c>
      <c r="L919" s="8" t="s">
        <v>31</v>
      </c>
      <c r="M919" s="8" t="s">
        <v>34</v>
      </c>
      <c r="P919" s="9">
        <v>44120.0</v>
      </c>
      <c r="Q919" s="10">
        <v>0.08333333333575865</v>
      </c>
      <c r="R919" s="11" t="str">
        <f t="shared" si="1"/>
        <v>Прохождение обучения</v>
      </c>
      <c r="S919" s="16" t="str">
        <f>iferror(VLOOKUP(C919,'ФИО'!A:B,2,0),"учётный код не найден")</f>
        <v>Егоров Александр Александрович</v>
      </c>
      <c r="T919" s="13" t="str">
        <f t="shared" si="2"/>
        <v/>
      </c>
      <c r="W919" s="17" t="str">
        <f t="shared" si="103"/>
        <v>Данные не заполены</v>
      </c>
      <c r="X919" s="14" t="str">
        <f t="shared" si="99"/>
        <v>Данные не заполены</v>
      </c>
      <c r="Y919" s="15">
        <f t="shared" si="100"/>
        <v>0</v>
      </c>
    </row>
    <row r="920" hidden="1">
      <c r="A920" s="7">
        <v>44105.83050925926</v>
      </c>
      <c r="B920" s="8" t="s">
        <v>26</v>
      </c>
      <c r="C920" s="8">
        <v>21522.0</v>
      </c>
      <c r="D920" s="18" t="s">
        <v>69</v>
      </c>
      <c r="F920" s="8" t="s">
        <v>103</v>
      </c>
      <c r="G920" s="18">
        <v>3419.0</v>
      </c>
      <c r="H920" s="8" t="s">
        <v>29</v>
      </c>
      <c r="I920" s="8" t="s">
        <v>75</v>
      </c>
      <c r="L920" s="18" t="s">
        <v>37</v>
      </c>
      <c r="P920" s="19">
        <v>44105.0</v>
      </c>
      <c r="Q920" s="20">
        <v>0.04166666666424135</v>
      </c>
      <c r="R920" s="13" t="str">
        <f t="shared" si="1"/>
        <v>Проверка на АОИ PRI</v>
      </c>
      <c r="S920" s="16" t="str">
        <f>iferror(VLOOKUP(C920,'ФИО'!A:B,2,0),"учётный код не найден")</f>
        <v>Исаев Никита Дмитриевич</v>
      </c>
      <c r="T920" s="13" t="str">
        <f t="shared" si="2"/>
        <v>ПБУИК-37В ASLB_758726_011r1 (Квант)</v>
      </c>
      <c r="U920" s="8">
        <v>10.0</v>
      </c>
      <c r="V920" s="8">
        <v>0.0</v>
      </c>
      <c r="W920" s="21" t="str">
        <f t="shared" si="103"/>
        <v>Данные не заполены</v>
      </c>
      <c r="X920" s="15" t="str">
        <f t="shared" si="99"/>
        <v>Данные не заполены</v>
      </c>
      <c r="Y920" s="15">
        <f t="shared" si="100"/>
        <v>0</v>
      </c>
    </row>
    <row r="921" hidden="1">
      <c r="A921" s="7">
        <v>44105.830493657406</v>
      </c>
      <c r="B921" s="8" t="s">
        <v>26</v>
      </c>
      <c r="C921" s="8">
        <v>21522.0</v>
      </c>
      <c r="D921" s="18" t="s">
        <v>69</v>
      </c>
      <c r="F921" s="8" t="s">
        <v>103</v>
      </c>
      <c r="G921" s="18">
        <v>3424.0</v>
      </c>
      <c r="H921" s="8" t="s">
        <v>29</v>
      </c>
      <c r="I921" s="8" t="s">
        <v>139</v>
      </c>
      <c r="L921" s="18" t="s">
        <v>37</v>
      </c>
      <c r="P921" s="19">
        <v>44105.0</v>
      </c>
      <c r="Q921" s="20">
        <v>0.10416666666424135</v>
      </c>
      <c r="R921" s="13" t="str">
        <f t="shared" si="1"/>
        <v>Проверка на АОИ PRI</v>
      </c>
      <c r="S921" s="16" t="str">
        <f>iferror(VLOOKUP(C921,'ФИО'!A:B,2,0),"учётный код не найден")</f>
        <v>Исаев Никита Дмитриевич</v>
      </c>
      <c r="T921" s="13" t="str">
        <f t="shared" si="2"/>
        <v>ИПТ-СА-А1R-л (Гефест)</v>
      </c>
      <c r="U921" s="8">
        <v>35.0</v>
      </c>
      <c r="V921" s="8">
        <v>0.0</v>
      </c>
      <c r="W921" s="21" t="str">
        <f t="shared" si="103"/>
        <v>Данные не заполены</v>
      </c>
      <c r="X921" s="15" t="str">
        <f t="shared" si="99"/>
        <v>Данные не заполены</v>
      </c>
      <c r="Y921" s="15">
        <f t="shared" si="100"/>
        <v>0</v>
      </c>
    </row>
    <row r="922" hidden="1">
      <c r="A922" s="7">
        <v>44108.33010152778</v>
      </c>
      <c r="B922" s="8" t="s">
        <v>38</v>
      </c>
      <c r="C922" s="8">
        <v>21522.0</v>
      </c>
      <c r="D922" s="8" t="s">
        <v>69</v>
      </c>
      <c r="F922" s="8" t="s">
        <v>103</v>
      </c>
      <c r="G922" s="8">
        <v>3579.0</v>
      </c>
      <c r="H922" s="8" t="s">
        <v>29</v>
      </c>
      <c r="I922" s="8" t="s">
        <v>42</v>
      </c>
      <c r="L922" s="8" t="s">
        <v>37</v>
      </c>
      <c r="P922" s="9">
        <v>44107.0</v>
      </c>
      <c r="Q922" s="10">
        <v>0.14583333333575865</v>
      </c>
      <c r="R922" s="11" t="str">
        <f t="shared" si="1"/>
        <v>Проверка на АОИ PRI</v>
      </c>
      <c r="S922" s="16" t="str">
        <f>iferror(VLOOKUP(C922,'ФИО'!A:B,2,0),"учётный код не найден")</f>
        <v>Исаев Никита Дмитриевич</v>
      </c>
      <c r="T922" s="13" t="str">
        <f t="shared" si="2"/>
        <v>915-00070.A - Модуль телематики ТМ1 v3 (Сознательные машины)</v>
      </c>
      <c r="U922" s="8">
        <v>54.0</v>
      </c>
      <c r="V922" s="8">
        <v>0.0</v>
      </c>
      <c r="W922" s="21" t="str">
        <f t="shared" si="103"/>
        <v>Данные не заполены</v>
      </c>
      <c r="X922" s="15" t="str">
        <f t="shared" si="99"/>
        <v>Данные не заполены</v>
      </c>
      <c r="Y922" s="15">
        <f t="shared" si="100"/>
        <v>0</v>
      </c>
    </row>
    <row r="923" hidden="1">
      <c r="A923" s="7">
        <v>44116.32966379629</v>
      </c>
      <c r="B923" s="8" t="s">
        <v>38</v>
      </c>
      <c r="C923" s="8">
        <v>20751.0</v>
      </c>
      <c r="D923" s="8" t="s">
        <v>27</v>
      </c>
      <c r="E923" s="8" t="s">
        <v>97</v>
      </c>
      <c r="G923" s="8">
        <v>3750.0</v>
      </c>
      <c r="H923" s="8" t="s">
        <v>45</v>
      </c>
      <c r="K923" s="8" t="s">
        <v>46</v>
      </c>
      <c r="L923" s="8" t="s">
        <v>37</v>
      </c>
      <c r="P923" s="9">
        <v>44115.0</v>
      </c>
      <c r="Q923" s="10">
        <v>0.04166666666424135</v>
      </c>
      <c r="R923" s="11" t="str">
        <f t="shared" si="1"/>
        <v>Проверка плат на АОИ Prim</v>
      </c>
      <c r="S923" s="16" t="str">
        <f>iferror(VLOOKUP(C923,'ФИО'!A:B,2,0),"учётный код не найден")</f>
        <v>Кезерев Виталий Романович</v>
      </c>
      <c r="T923" s="13" t="str">
        <f t="shared" si="2"/>
        <v>ПУ 910-00349.A "Печатный узел основного блока E96 4LIN"</v>
      </c>
      <c r="U923" s="8">
        <v>0.0</v>
      </c>
      <c r="V923" s="8">
        <v>0.0</v>
      </c>
      <c r="W923" s="21" t="str">
        <f t="shared" si="103"/>
        <v>Данные не заполены</v>
      </c>
      <c r="X923" s="15" t="str">
        <f t="shared" si="99"/>
        <v>Данные не заполены</v>
      </c>
      <c r="Y923" s="15">
        <f t="shared" si="100"/>
        <v>0</v>
      </c>
    </row>
    <row r="924" hidden="1">
      <c r="A924" s="7">
        <v>44121.82298269676</v>
      </c>
      <c r="B924" s="8" t="s">
        <v>26</v>
      </c>
      <c r="C924" s="8">
        <v>20751.0</v>
      </c>
      <c r="D924" s="8" t="s">
        <v>27</v>
      </c>
      <c r="E924" s="8" t="s">
        <v>97</v>
      </c>
      <c r="G924" s="8">
        <v>3754.0</v>
      </c>
      <c r="H924" s="8" t="s">
        <v>45</v>
      </c>
      <c r="K924" s="8" t="s">
        <v>124</v>
      </c>
      <c r="L924" s="8" t="s">
        <v>37</v>
      </c>
      <c r="P924" s="9">
        <v>44121.0</v>
      </c>
      <c r="Q924" s="10">
        <v>0.34027777778101154</v>
      </c>
      <c r="R924" s="11" t="str">
        <f t="shared" si="1"/>
        <v>Проверка плат на АОИ Prim</v>
      </c>
      <c r="S924" s="16" t="str">
        <f>iferror(VLOOKUP(C924,'ФИО'!A:B,2,0),"учётный код не найден")</f>
        <v>Кезерев Виталий Романович</v>
      </c>
      <c r="T924" s="13" t="str">
        <f t="shared" si="2"/>
        <v>ПУ 910-00120.D - Печатный узел модуля 2CAN+LIN</v>
      </c>
      <c r="U924" s="8">
        <v>8798.0</v>
      </c>
      <c r="V924" s="8">
        <v>130.0</v>
      </c>
      <c r="W924" s="17" t="str">
        <f t="shared" si="103"/>
        <v>Данные не заполены</v>
      </c>
      <c r="X924" s="14" t="str">
        <f t="shared" si="99"/>
        <v>Данные не заполены</v>
      </c>
      <c r="Y924" s="15">
        <f t="shared" si="100"/>
        <v>0.01477608547</v>
      </c>
    </row>
    <row r="925" hidden="1">
      <c r="A925" s="7">
        <v>44105.82396613426</v>
      </c>
      <c r="B925" s="8" t="s">
        <v>26</v>
      </c>
      <c r="C925" s="8">
        <v>20751.0</v>
      </c>
      <c r="D925" s="18" t="s">
        <v>27</v>
      </c>
      <c r="E925" s="8" t="s">
        <v>160</v>
      </c>
      <c r="G925" s="18">
        <v>3238.0</v>
      </c>
      <c r="H925" s="8" t="s">
        <v>29</v>
      </c>
      <c r="I925" s="8" t="s">
        <v>43</v>
      </c>
      <c r="L925" s="18" t="s">
        <v>31</v>
      </c>
      <c r="M925" s="8" t="s">
        <v>34</v>
      </c>
      <c r="N925" s="8"/>
      <c r="O925" s="8"/>
      <c r="P925" s="19">
        <v>44105.0</v>
      </c>
      <c r="Q925" s="20">
        <v>0.027777777781011537</v>
      </c>
      <c r="R925" s="13" t="str">
        <f t="shared" si="1"/>
        <v>Проверка программы установщиков</v>
      </c>
      <c r="S925" s="16" t="str">
        <f>iferror(VLOOKUP(C925,'ФИО'!A:B,2,0),"учётный код не найден")</f>
        <v>Кезерев Виталий Романович</v>
      </c>
      <c r="T925" s="13" t="str">
        <f t="shared" si="2"/>
        <v>915-00097.A - ПКД-8В-3 АСЛБ.467249.110 (Квант)</v>
      </c>
      <c r="U925" s="8">
        <v>0.0</v>
      </c>
      <c r="V925" s="8">
        <v>0.0</v>
      </c>
      <c r="W925" s="21" t="str">
        <f t="shared" si="103"/>
        <v>Данные не заполены</v>
      </c>
      <c r="X925" s="15" t="str">
        <f t="shared" si="99"/>
        <v>Данные не заполены</v>
      </c>
      <c r="Y925" s="15">
        <f t="shared" si="100"/>
        <v>0</v>
      </c>
    </row>
    <row r="926" hidden="1">
      <c r="A926" s="7">
        <v>44112.80091348379</v>
      </c>
      <c r="B926" s="8" t="s">
        <v>26</v>
      </c>
      <c r="C926" s="8">
        <v>20751.0</v>
      </c>
      <c r="D926" s="8" t="s">
        <v>27</v>
      </c>
      <c r="E926" s="8" t="s">
        <v>160</v>
      </c>
      <c r="G926" s="8">
        <v>3253.0</v>
      </c>
      <c r="H926" s="8" t="s">
        <v>29</v>
      </c>
      <c r="I926" s="8" t="s">
        <v>95</v>
      </c>
      <c r="L926" s="8" t="s">
        <v>31</v>
      </c>
      <c r="M926" s="8" t="s">
        <v>34</v>
      </c>
      <c r="N926" s="8"/>
      <c r="O926" s="8"/>
      <c r="P926" s="9">
        <v>44112.0</v>
      </c>
      <c r="Q926" s="10">
        <v>0.04166666666424135</v>
      </c>
      <c r="R926" s="11" t="str">
        <f t="shared" si="1"/>
        <v>Проверка программы установщиков</v>
      </c>
      <c r="S926" s="16" t="str">
        <f>iferror(VLOOKUP(C926,'ФИО'!A:B,2,0),"учётный код не найден")</f>
        <v>Кезерев Виталий Романович</v>
      </c>
      <c r="T926" s="13" t="str">
        <f t="shared" si="2"/>
        <v>915-00095.A - ПКД-8В-1 АСЛБ.467249.108 (Квант)</v>
      </c>
      <c r="U926" s="8">
        <v>0.0</v>
      </c>
      <c r="V926" s="8">
        <v>0.0</v>
      </c>
      <c r="W926" s="21" t="str">
        <f t="shared" si="103"/>
        <v>Данные не заполены</v>
      </c>
      <c r="X926" s="15" t="str">
        <f t="shared" si="99"/>
        <v>Данные не заполены</v>
      </c>
      <c r="Y926" s="15">
        <f t="shared" si="100"/>
        <v>0</v>
      </c>
    </row>
    <row r="927" hidden="1">
      <c r="A927" s="7">
        <v>44105.82545438658</v>
      </c>
      <c r="B927" s="8" t="s">
        <v>26</v>
      </c>
      <c r="C927" s="8">
        <v>22087.0</v>
      </c>
      <c r="D927" s="18" t="s">
        <v>27</v>
      </c>
      <c r="E927" s="8" t="s">
        <v>97</v>
      </c>
      <c r="G927" s="18">
        <v>3579.0</v>
      </c>
      <c r="H927" s="8" t="s">
        <v>29</v>
      </c>
      <c r="I927" s="8" t="s">
        <v>42</v>
      </c>
      <c r="L927" s="18" t="s">
        <v>37</v>
      </c>
      <c r="P927" s="19">
        <v>44105.0</v>
      </c>
      <c r="Q927" s="20">
        <v>0.0625</v>
      </c>
      <c r="R927" s="11" t="str">
        <f t="shared" si="1"/>
        <v>Проверка плат на АОИ Prim</v>
      </c>
      <c r="S927" s="16" t="str">
        <f>iferror(VLOOKUP(C927,'ФИО'!A:B,2,0),"учётный код не найден")</f>
        <v>Хохряков Илья Александрович</v>
      </c>
      <c r="T927" s="13" t="str">
        <f t="shared" si="2"/>
        <v>915-00070.A - Модуль телематики ТМ1 v3 (Сознательные машины)</v>
      </c>
      <c r="U927" s="8">
        <v>42.0</v>
      </c>
      <c r="V927" s="8">
        <v>27.0</v>
      </c>
      <c r="W927" s="21" t="str">
        <f t="shared" si="103"/>
        <v>Данные не заполены</v>
      </c>
      <c r="X927" s="15" t="str">
        <f t="shared" si="99"/>
        <v>Данные не заполены</v>
      </c>
      <c r="Y927" s="15">
        <f t="shared" si="100"/>
        <v>0.6428571429</v>
      </c>
      <c r="Z927" s="8" t="s">
        <v>232</v>
      </c>
    </row>
    <row r="928" hidden="1">
      <c r="A928" s="7">
        <v>44108.319926296295</v>
      </c>
      <c r="B928" s="8" t="s">
        <v>38</v>
      </c>
      <c r="C928" s="8">
        <v>22087.0</v>
      </c>
      <c r="D928" s="8" t="s">
        <v>27</v>
      </c>
      <c r="E928" s="8" t="s">
        <v>97</v>
      </c>
      <c r="G928" s="8">
        <v>3706.0</v>
      </c>
      <c r="H928" s="8" t="s">
        <v>45</v>
      </c>
      <c r="K928" s="8" t="s">
        <v>91</v>
      </c>
      <c r="L928" s="8" t="s">
        <v>37</v>
      </c>
      <c r="P928" s="9">
        <v>44107.0</v>
      </c>
      <c r="Q928" s="10">
        <v>0.08333333333575865</v>
      </c>
      <c r="R928" s="11" t="str">
        <f t="shared" si="1"/>
        <v>Проверка плат на АОИ Prim</v>
      </c>
      <c r="S928" s="16" t="str">
        <f>iferror(VLOOKUP(C928,'ФИО'!A:B,2,0),"учётный код не найден")</f>
        <v>Хохряков Илья Александрович</v>
      </c>
      <c r="T928" s="13" t="str">
        <f t="shared" si="2"/>
        <v>ПУ Сигма 10/15 910-00080.D</v>
      </c>
      <c r="U928" s="8">
        <v>531.0</v>
      </c>
      <c r="V928" s="8">
        <v>13.0</v>
      </c>
      <c r="W928" s="21" t="str">
        <f t="shared" si="103"/>
        <v>Данные не заполены</v>
      </c>
      <c r="X928" s="15" t="str">
        <f t="shared" si="99"/>
        <v>Данные не заполены</v>
      </c>
      <c r="Y928" s="15">
        <f t="shared" si="100"/>
        <v>0.02448210923</v>
      </c>
    </row>
    <row r="929" hidden="1">
      <c r="A929" s="7">
        <v>44109.32907116898</v>
      </c>
      <c r="B929" s="8" t="s">
        <v>38</v>
      </c>
      <c r="C929" s="8">
        <v>22087.0</v>
      </c>
      <c r="D929" s="8" t="s">
        <v>27</v>
      </c>
      <c r="E929" s="8" t="s">
        <v>97</v>
      </c>
      <c r="G929" s="8">
        <v>3233.0</v>
      </c>
      <c r="H929" s="8" t="s">
        <v>29</v>
      </c>
      <c r="I929" s="8" t="s">
        <v>60</v>
      </c>
      <c r="L929" s="8" t="s">
        <v>37</v>
      </c>
      <c r="P929" s="9">
        <v>44108.0</v>
      </c>
      <c r="Q929" s="10">
        <v>0.20833333333575865</v>
      </c>
      <c r="R929" s="11" t="str">
        <f t="shared" si="1"/>
        <v>Проверка плат на АОИ Prim</v>
      </c>
      <c r="S929" s="16" t="str">
        <f>iferror(VLOOKUP(C929,'ФИО'!A:B,2,0),"учётный код не найден")</f>
        <v>Хохряков Илья Александрович</v>
      </c>
      <c r="T929" s="13" t="str">
        <f t="shared" si="2"/>
        <v>915-00102.A - ПБОК-2В АСЛБ.465285.013 (Квант)</v>
      </c>
      <c r="U929" s="8">
        <v>8.0</v>
      </c>
      <c r="V929" s="8">
        <v>40.0</v>
      </c>
      <c r="W929" s="21" t="str">
        <f t="shared" si="103"/>
        <v>Данные не заполены</v>
      </c>
      <c r="X929" s="15" t="str">
        <f t="shared" si="99"/>
        <v>Данные не заполены</v>
      </c>
      <c r="Y929" s="15">
        <f t="shared" si="100"/>
        <v>5</v>
      </c>
      <c r="Z929" s="8" t="s">
        <v>233</v>
      </c>
    </row>
    <row r="930" hidden="1">
      <c r="A930" s="7">
        <v>44109.33089913194</v>
      </c>
      <c r="B930" s="8" t="s">
        <v>38</v>
      </c>
      <c r="C930" s="8">
        <v>22087.0</v>
      </c>
      <c r="D930" s="8" t="s">
        <v>27</v>
      </c>
      <c r="E930" s="8" t="s">
        <v>97</v>
      </c>
      <c r="G930" s="8">
        <v>3726.0</v>
      </c>
      <c r="H930" s="8" t="s">
        <v>45</v>
      </c>
      <c r="K930" s="8" t="s">
        <v>58</v>
      </c>
      <c r="L930" s="8" t="s">
        <v>37</v>
      </c>
      <c r="P930" s="9">
        <v>44108.0</v>
      </c>
      <c r="Q930" s="10">
        <v>0.04166666666424135</v>
      </c>
      <c r="R930" s="11" t="str">
        <f t="shared" si="1"/>
        <v>Проверка плат на АОИ Prim</v>
      </c>
      <c r="S930" s="16" t="str">
        <f>iferror(VLOOKUP(C930,'ФИО'!A:B,2,0),"учётный код не найден")</f>
        <v>Хохряков Илья Александрович</v>
      </c>
      <c r="T930" s="13" t="str">
        <f t="shared" si="2"/>
        <v>ПУ метки i95</v>
      </c>
      <c r="U930" s="8">
        <v>382.0</v>
      </c>
      <c r="V930" s="8">
        <v>26.0</v>
      </c>
      <c r="W930" s="21" t="str">
        <f t="shared" si="103"/>
        <v>Данные не заполены</v>
      </c>
      <c r="X930" s="15" t="str">
        <f t="shared" si="99"/>
        <v>Данные не заполены</v>
      </c>
      <c r="Y930" s="15">
        <f t="shared" si="100"/>
        <v>0.06806282723</v>
      </c>
    </row>
    <row r="931" hidden="1">
      <c r="A931" s="7">
        <v>44116.32841579861</v>
      </c>
      <c r="B931" s="8" t="s">
        <v>38</v>
      </c>
      <c r="C931" s="8">
        <v>22087.0</v>
      </c>
      <c r="D931" s="8" t="s">
        <v>27</v>
      </c>
      <c r="E931" s="8" t="s">
        <v>97</v>
      </c>
      <c r="G931" s="8">
        <v>3750.0</v>
      </c>
      <c r="H931" s="8" t="s">
        <v>45</v>
      </c>
      <c r="K931" s="8" t="s">
        <v>46</v>
      </c>
      <c r="L931" s="8" t="s">
        <v>37</v>
      </c>
      <c r="P931" s="9">
        <v>44115.0</v>
      </c>
      <c r="Q931" s="10">
        <v>0.33333333333575865</v>
      </c>
      <c r="R931" s="11" t="str">
        <f t="shared" si="1"/>
        <v>Проверка плат на АОИ Prim</v>
      </c>
      <c r="S931" s="16" t="str">
        <f>iferror(VLOOKUP(C931,'ФИО'!A:B,2,0),"учётный код не найден")</f>
        <v>Хохряков Илья Александрович</v>
      </c>
      <c r="T931" s="13" t="str">
        <f t="shared" si="2"/>
        <v>ПУ 910-00349.A "Печатный узел основного блока E96 4LIN"</v>
      </c>
      <c r="U931" s="8">
        <v>799.0</v>
      </c>
      <c r="V931" s="8">
        <v>113.0</v>
      </c>
      <c r="W931" s="21" t="str">
        <f t="shared" si="103"/>
        <v>Данные не заполены</v>
      </c>
      <c r="X931" s="15" t="str">
        <f t="shared" si="99"/>
        <v>Данные не заполены</v>
      </c>
      <c r="Y931" s="15">
        <f t="shared" si="100"/>
        <v>0.1414267835</v>
      </c>
      <c r="Z931" s="26" t="s">
        <v>234</v>
      </c>
    </row>
    <row r="932" hidden="1">
      <c r="A932" s="7">
        <v>44117.32762267361</v>
      </c>
      <c r="B932" s="8" t="s">
        <v>38</v>
      </c>
      <c r="C932" s="8">
        <v>22087.0</v>
      </c>
      <c r="D932" s="8" t="s">
        <v>27</v>
      </c>
      <c r="E932" s="8" t="s">
        <v>97</v>
      </c>
      <c r="G932" s="8">
        <v>3750.0</v>
      </c>
      <c r="H932" s="8" t="s">
        <v>45</v>
      </c>
      <c r="K932" s="8" t="s">
        <v>46</v>
      </c>
      <c r="L932" s="8" t="s">
        <v>37</v>
      </c>
      <c r="P932" s="9">
        <v>44116.0</v>
      </c>
      <c r="Q932" s="10">
        <v>0.006944444445252884</v>
      </c>
      <c r="R932" s="11" t="str">
        <f t="shared" si="1"/>
        <v>Проверка плат на АОИ Prim</v>
      </c>
      <c r="S932" s="16" t="str">
        <f>iferror(VLOOKUP(C932,'ФИО'!A:B,2,0),"учётный код не найден")</f>
        <v>Хохряков Илья Александрович</v>
      </c>
      <c r="T932" s="13" t="str">
        <f t="shared" si="2"/>
        <v>ПУ 910-00349.A "Печатный узел основного блока E96 4LIN"</v>
      </c>
      <c r="U932" s="8">
        <v>3.0</v>
      </c>
      <c r="V932" s="8">
        <v>1.0</v>
      </c>
      <c r="W932" s="21" t="str">
        <f t="shared" si="103"/>
        <v>Данные не заполены</v>
      </c>
      <c r="X932" s="15" t="str">
        <f t="shared" si="99"/>
        <v>Данные не заполены</v>
      </c>
      <c r="Y932" s="15">
        <f t="shared" si="100"/>
        <v>0.3333333333</v>
      </c>
      <c r="Z932" s="8" t="s">
        <v>235</v>
      </c>
    </row>
    <row r="933" hidden="1">
      <c r="A933" s="7">
        <v>44121.82952510417</v>
      </c>
      <c r="B933" s="8" t="s">
        <v>26</v>
      </c>
      <c r="C933" s="8">
        <v>50000.0</v>
      </c>
      <c r="D933" s="8" t="s">
        <v>27</v>
      </c>
      <c r="E933" s="8" t="s">
        <v>67</v>
      </c>
      <c r="G933" s="8">
        <v>3754.0</v>
      </c>
      <c r="H933" s="8" t="s">
        <v>45</v>
      </c>
      <c r="K933" s="8" t="s">
        <v>124</v>
      </c>
      <c r="L933" s="8" t="s">
        <v>37</v>
      </c>
      <c r="N933" s="8">
        <v>36.0</v>
      </c>
      <c r="O933" s="8">
        <v>39.0</v>
      </c>
      <c r="P933" s="9">
        <v>44121.0</v>
      </c>
      <c r="Q933" s="10">
        <v>0.31597222221898846</v>
      </c>
      <c r="R933" s="11" t="str">
        <f t="shared" si="1"/>
        <v>Сборка на линии Prim</v>
      </c>
      <c r="S933" s="16" t="str">
        <f>iferror(VLOOKUP(C933,'ФИО'!A:B,2,0),"учётный код не найден")</f>
        <v>SMT</v>
      </c>
      <c r="T933" s="13" t="str">
        <f t="shared" si="2"/>
        <v>ПУ 910-00120.D - Печатный узел модуля 2CAN+LIN</v>
      </c>
      <c r="U933" s="8">
        <v>9324.0</v>
      </c>
      <c r="V933" s="8">
        <v>0.0</v>
      </c>
      <c r="W933" s="17">
        <f t="shared" si="103"/>
        <v>24820.06154</v>
      </c>
      <c r="X933" s="14">
        <f t="shared" si="99"/>
        <v>0.5449189985</v>
      </c>
      <c r="Y933" s="15">
        <f t="shared" si="100"/>
        <v>0</v>
      </c>
      <c r="Z933" s="26" t="s">
        <v>236</v>
      </c>
    </row>
    <row r="934" hidden="1">
      <c r="A934" s="7">
        <v>44121.823728668984</v>
      </c>
      <c r="B934" s="8" t="s">
        <v>26</v>
      </c>
      <c r="C934" s="8">
        <v>60000.0</v>
      </c>
      <c r="D934" s="8" t="s">
        <v>69</v>
      </c>
      <c r="F934" s="8" t="s">
        <v>72</v>
      </c>
      <c r="G934" s="8">
        <v>3579.0</v>
      </c>
      <c r="H934" s="8" t="s">
        <v>29</v>
      </c>
      <c r="I934" s="8" t="s">
        <v>42</v>
      </c>
      <c r="L934" s="8" t="s">
        <v>31</v>
      </c>
      <c r="M934" s="8" t="s">
        <v>34</v>
      </c>
      <c r="N934" s="8">
        <v>3.0</v>
      </c>
      <c r="O934" s="8">
        <v>78.0</v>
      </c>
      <c r="P934" s="9">
        <v>44121.0</v>
      </c>
      <c r="Q934" s="10">
        <v>0.09375</v>
      </c>
      <c r="R934" s="11" t="str">
        <f t="shared" si="1"/>
        <v>Пайка компонентов PRI</v>
      </c>
      <c r="S934" s="12" t="str">
        <f>iferror(VLOOKUP(C934,'ФИО'!A:B,2,0),"учётный код не найден")</f>
        <v>THT</v>
      </c>
      <c r="T934" s="13" t="str">
        <f t="shared" si="2"/>
        <v>915-00070.A - Модуль телематики ТМ1 v3 (Сознательные машины)</v>
      </c>
      <c r="U934" s="8">
        <v>320.0</v>
      </c>
      <c r="V934" s="8">
        <v>0.0</v>
      </c>
      <c r="W934" s="17">
        <f t="shared" si="103"/>
        <v>1034.169231</v>
      </c>
      <c r="X934" s="14">
        <f t="shared" si="99"/>
        <v>1.512754777</v>
      </c>
      <c r="Y934" s="15">
        <f t="shared" si="100"/>
        <v>0</v>
      </c>
    </row>
    <row r="935">
      <c r="A935" s="7">
        <v>44121.82435768518</v>
      </c>
      <c r="B935" s="8" t="s">
        <v>26</v>
      </c>
      <c r="C935" s="8">
        <v>60000.0</v>
      </c>
      <c r="D935" s="8" t="s">
        <v>69</v>
      </c>
      <c r="F935" s="8" t="s">
        <v>72</v>
      </c>
      <c r="G935" s="8">
        <v>3750.0</v>
      </c>
      <c r="H935" s="8" t="s">
        <v>45</v>
      </c>
      <c r="K935" s="8" t="s">
        <v>46</v>
      </c>
      <c r="L935" s="8" t="s">
        <v>37</v>
      </c>
      <c r="N935" s="8">
        <v>4.0</v>
      </c>
      <c r="O935" s="8">
        <v>100.0</v>
      </c>
      <c r="P935" s="9">
        <v>44121.0</v>
      </c>
      <c r="Q935" s="10">
        <v>0.1875</v>
      </c>
      <c r="R935" s="11" t="str">
        <f t="shared" si="1"/>
        <v>Пайка компонентов PRI</v>
      </c>
      <c r="S935" s="12" t="str">
        <f>iferror(VLOOKUP(C935,'ФИО'!A:B,2,0),"учётный код не найден")</f>
        <v>THT</v>
      </c>
      <c r="T935" s="13" t="str">
        <f t="shared" si="2"/>
        <v>ПУ 910-00349.A "Печатный узел основного блока E96 4LIN"</v>
      </c>
      <c r="U935" s="8">
        <v>520.0</v>
      </c>
      <c r="V935" s="8">
        <v>0.0</v>
      </c>
      <c r="W935" s="17">
        <f t="shared" si="103"/>
        <v>1075.536</v>
      </c>
      <c r="X935" s="14">
        <f t="shared" si="99"/>
        <v>1.18183967</v>
      </c>
      <c r="Y935" s="15">
        <f t="shared" si="100"/>
        <v>0</v>
      </c>
    </row>
    <row r="936" hidden="1">
      <c r="A936" s="7">
        <v>44122.22437271991</v>
      </c>
      <c r="B936" s="8" t="s">
        <v>76</v>
      </c>
      <c r="C936" s="8">
        <v>20693.0</v>
      </c>
      <c r="D936" s="8" t="s">
        <v>27</v>
      </c>
      <c r="E936" s="8" t="s">
        <v>97</v>
      </c>
      <c r="G936" s="8">
        <v>3754.0</v>
      </c>
      <c r="H936" s="8" t="s">
        <v>45</v>
      </c>
      <c r="K936" s="8" t="s">
        <v>124</v>
      </c>
      <c r="L936" s="8" t="s">
        <v>37</v>
      </c>
      <c r="P936" s="9">
        <v>44121.0</v>
      </c>
      <c r="Q936" s="10">
        <v>0.3125</v>
      </c>
      <c r="R936" s="11" t="str">
        <f t="shared" si="1"/>
        <v>Проверка плат на АОИ Prim</v>
      </c>
      <c r="S936" s="16" t="str">
        <f>iferror(VLOOKUP(C936,'ФИО'!A:B,2,0),"учётный код не найден")</f>
        <v>Аникина Раиса Владимировна</v>
      </c>
      <c r="T936" s="13" t="str">
        <f t="shared" si="2"/>
        <v>ПУ 910-00120.D - Печатный узел модуля 2CAN+LIN</v>
      </c>
      <c r="U936" s="8">
        <v>15365.0</v>
      </c>
      <c r="V936" s="8">
        <v>300.0</v>
      </c>
      <c r="X936" s="14" t="str">
        <f t="shared" si="99"/>
        <v>Данные не заполены</v>
      </c>
      <c r="Y936" s="15">
        <f t="shared" si="100"/>
        <v>0.01952489424</v>
      </c>
    </row>
    <row r="937" hidden="1">
      <c r="A937" s="7">
        <v>44122.226700671294</v>
      </c>
      <c r="B937" s="8" t="s">
        <v>76</v>
      </c>
      <c r="C937" s="8">
        <v>20693.0</v>
      </c>
      <c r="D937" s="8" t="s">
        <v>27</v>
      </c>
      <c r="E937" s="8" t="s">
        <v>62</v>
      </c>
      <c r="G937" s="8">
        <v>3754.0</v>
      </c>
      <c r="H937" s="8" t="s">
        <v>45</v>
      </c>
      <c r="K937" s="8" t="s">
        <v>124</v>
      </c>
      <c r="L937" s="8" t="s">
        <v>37</v>
      </c>
      <c r="P937" s="9">
        <v>44121.0</v>
      </c>
      <c r="Q937" s="10">
        <v>0.04166666666424135</v>
      </c>
      <c r="R937" s="11" t="str">
        <f t="shared" si="1"/>
        <v>ReviewStation pri</v>
      </c>
      <c r="S937" s="16" t="str">
        <f>iferror(VLOOKUP(C937,'ФИО'!A:B,2,0),"учётный код не найден")</f>
        <v>Аникина Раиса Владимировна</v>
      </c>
      <c r="T937" s="13" t="str">
        <f t="shared" si="2"/>
        <v>ПУ 910-00120.D - Печатный узел модуля 2CAN+LIN</v>
      </c>
      <c r="U937" s="8">
        <v>0.0</v>
      </c>
      <c r="V937" s="8">
        <v>67.0</v>
      </c>
      <c r="X937" s="14" t="str">
        <f t="shared" si="99"/>
        <v>Данные не заполены</v>
      </c>
      <c r="Y937" s="15">
        <f t="shared" si="100"/>
        <v>67</v>
      </c>
      <c r="Z937" s="8" t="s">
        <v>237</v>
      </c>
    </row>
    <row r="938" hidden="1">
      <c r="A938" s="7">
        <v>44122.32378523148</v>
      </c>
      <c r="B938" s="8" t="s">
        <v>76</v>
      </c>
      <c r="C938" s="8">
        <v>20693.0</v>
      </c>
      <c r="D938" s="8" t="s">
        <v>27</v>
      </c>
      <c r="E938" s="8" t="s">
        <v>121</v>
      </c>
      <c r="G938" s="8">
        <v>3754.0</v>
      </c>
      <c r="H938" s="8" t="s">
        <v>45</v>
      </c>
      <c r="K938" s="8" t="s">
        <v>124</v>
      </c>
      <c r="L938" s="8" t="s">
        <v>31</v>
      </c>
      <c r="M938" s="8" t="s">
        <v>34</v>
      </c>
      <c r="P938" s="9">
        <v>44121.0</v>
      </c>
      <c r="Q938" s="10">
        <v>0.027777777781011537</v>
      </c>
      <c r="R938" s="11" t="str">
        <f t="shared" si="1"/>
        <v>Настройка линии Secondary</v>
      </c>
      <c r="S938" s="16" t="str">
        <f>iferror(VLOOKUP(C938,'ФИО'!A:B,2,0),"учётный код не найден")</f>
        <v>Аникина Раиса Владимировна</v>
      </c>
      <c r="T938" s="13" t="str">
        <f t="shared" si="2"/>
        <v>ПУ 910-00120.D - Печатный узел модуля 2CAN+LIN</v>
      </c>
      <c r="U938" s="8">
        <v>0.0</v>
      </c>
      <c r="V938" s="8">
        <v>0.0</v>
      </c>
      <c r="X938" s="14" t="str">
        <f t="shared" si="99"/>
        <v>Данные не заполены</v>
      </c>
      <c r="Y938" s="15">
        <f t="shared" si="100"/>
        <v>0</v>
      </c>
    </row>
    <row r="939" hidden="1">
      <c r="A939" s="7">
        <v>44122.32693811343</v>
      </c>
      <c r="B939" s="8" t="s">
        <v>76</v>
      </c>
      <c r="C939" s="8">
        <v>20693.0</v>
      </c>
      <c r="D939" s="8" t="s">
        <v>27</v>
      </c>
      <c r="E939" s="8" t="s">
        <v>82</v>
      </c>
      <c r="G939" s="8">
        <v>3754.0</v>
      </c>
      <c r="H939" s="8" t="s">
        <v>45</v>
      </c>
      <c r="K939" s="8" t="s">
        <v>124</v>
      </c>
      <c r="L939" s="8" t="s">
        <v>31</v>
      </c>
      <c r="M939" s="8" t="s">
        <v>34</v>
      </c>
      <c r="P939" s="9">
        <v>44121.0</v>
      </c>
      <c r="Q939" s="10">
        <v>0.03472222221898846</v>
      </c>
      <c r="R939" s="11" t="str">
        <f t="shared" si="1"/>
        <v>Настройка установщиков</v>
      </c>
      <c r="S939" s="16" t="str">
        <f>iferror(VLOOKUP(C939,'ФИО'!A:B,2,0),"учётный код не найден")</f>
        <v>Аникина Раиса Владимировна</v>
      </c>
      <c r="T939" s="13" t="str">
        <f t="shared" si="2"/>
        <v>ПУ 910-00120.D - Печатный узел модуля 2CAN+LIN</v>
      </c>
      <c r="U939" s="8">
        <v>1.5</v>
      </c>
      <c r="V939" s="8">
        <v>0.0</v>
      </c>
      <c r="W939" s="8">
        <v>19.0</v>
      </c>
      <c r="X939" s="14">
        <f t="shared" si="99"/>
        <v>1.042105263</v>
      </c>
      <c r="Y939" s="15">
        <f t="shared" si="100"/>
        <v>0</v>
      </c>
    </row>
    <row r="940" hidden="1">
      <c r="A940" s="7">
        <v>44122.330420405095</v>
      </c>
      <c r="B940" s="8" t="s">
        <v>76</v>
      </c>
      <c r="C940" s="8">
        <v>20693.0</v>
      </c>
      <c r="D940" s="8" t="s">
        <v>27</v>
      </c>
      <c r="E940" s="8" t="s">
        <v>67</v>
      </c>
      <c r="G940" s="8">
        <v>3754.0</v>
      </c>
      <c r="H940" s="8" t="s">
        <v>45</v>
      </c>
      <c r="K940" s="8" t="s">
        <v>124</v>
      </c>
      <c r="L940" s="8" t="s">
        <v>37</v>
      </c>
      <c r="P940" s="9">
        <v>44121.0</v>
      </c>
      <c r="Q940" s="10">
        <v>0.04166666666424135</v>
      </c>
      <c r="R940" s="11" t="str">
        <f t="shared" si="1"/>
        <v>Сборка на линии Prim</v>
      </c>
      <c r="S940" s="16" t="str">
        <f>iferror(VLOOKUP(C940,'ФИО'!A:B,2,0),"учётный код не найден")</f>
        <v>Аникина Раиса Владимировна</v>
      </c>
      <c r="T940" s="13" t="str">
        <f t="shared" si="2"/>
        <v>ПУ 910-00120.D - Печатный узел модуля 2CAN+LIN</v>
      </c>
      <c r="U940" s="8">
        <v>0.0</v>
      </c>
      <c r="V940" s="8">
        <v>0.0</v>
      </c>
      <c r="X940" s="14" t="str">
        <f t="shared" si="99"/>
        <v>Данные не заполены</v>
      </c>
      <c r="Y940" s="15">
        <f t="shared" si="100"/>
        <v>0</v>
      </c>
    </row>
    <row r="941" hidden="1">
      <c r="A941" s="7">
        <v>44122.330966759255</v>
      </c>
      <c r="B941" s="8" t="s">
        <v>76</v>
      </c>
      <c r="C941" s="8">
        <v>21852.0</v>
      </c>
      <c r="D941" s="8" t="s">
        <v>27</v>
      </c>
      <c r="E941" s="8" t="s">
        <v>67</v>
      </c>
      <c r="G941" s="8">
        <v>3754.0</v>
      </c>
      <c r="H941" s="8" t="s">
        <v>45</v>
      </c>
      <c r="K941" s="8" t="s">
        <v>124</v>
      </c>
      <c r="L941" s="8" t="s">
        <v>37</v>
      </c>
      <c r="P941" s="9">
        <v>44121.0</v>
      </c>
      <c r="Q941" s="10">
        <v>0.33333333333575865</v>
      </c>
      <c r="R941" s="11" t="str">
        <f t="shared" si="1"/>
        <v>Сборка на линии Prim</v>
      </c>
      <c r="S941" s="16" t="str">
        <f>iferror(VLOOKUP(C941,'ФИО'!A:B,2,0),"учётный код не найден")</f>
        <v>Пономарев Юрий Андреевич</v>
      </c>
      <c r="T941" s="13" t="str">
        <f t="shared" si="2"/>
        <v>ПУ 910-00120.D - Печатный узел модуля 2CAN+LIN</v>
      </c>
      <c r="U941" s="8">
        <v>0.0</v>
      </c>
      <c r="V941" s="8">
        <v>0.0</v>
      </c>
      <c r="X941" s="14" t="str">
        <f t="shared" si="99"/>
        <v>Данные не заполены</v>
      </c>
      <c r="Y941" s="15">
        <f t="shared" si="100"/>
        <v>0</v>
      </c>
    </row>
    <row r="942" hidden="1">
      <c r="A942" s="7">
        <v>44122.33199427083</v>
      </c>
      <c r="B942" s="8" t="s">
        <v>76</v>
      </c>
      <c r="C942" s="8">
        <v>21852.0</v>
      </c>
      <c r="D942" s="8" t="s">
        <v>27</v>
      </c>
      <c r="E942" s="8" t="s">
        <v>88</v>
      </c>
      <c r="G942" s="8">
        <v>3754.0</v>
      </c>
      <c r="H942" s="8" t="s">
        <v>45</v>
      </c>
      <c r="K942" s="8" t="s">
        <v>124</v>
      </c>
      <c r="L942" s="8" t="s">
        <v>37</v>
      </c>
      <c r="P942" s="9">
        <v>44121.0</v>
      </c>
      <c r="Q942" s="10">
        <v>0.04166666666424135</v>
      </c>
      <c r="R942" s="11" t="str">
        <f t="shared" si="1"/>
        <v>Сборка на линии Sec</v>
      </c>
      <c r="S942" s="16" t="str">
        <f>iferror(VLOOKUP(C942,'ФИО'!A:B,2,0),"учётный код не найден")</f>
        <v>Пономарев Юрий Андреевич</v>
      </c>
      <c r="T942" s="13" t="str">
        <f t="shared" si="2"/>
        <v>ПУ 910-00120.D - Печатный узел модуля 2CAN+LIN</v>
      </c>
      <c r="U942" s="8">
        <v>0.0</v>
      </c>
      <c r="V942" s="8">
        <v>0.0</v>
      </c>
      <c r="X942" s="14" t="str">
        <f t="shared" si="99"/>
        <v>Данные не заполены</v>
      </c>
      <c r="Y942" s="15">
        <f t="shared" si="100"/>
        <v>0</v>
      </c>
    </row>
    <row r="943" hidden="1">
      <c r="A943" s="7">
        <v>44122.33254869213</v>
      </c>
      <c r="B943" s="8" t="s">
        <v>76</v>
      </c>
      <c r="C943" s="8">
        <v>21852.0</v>
      </c>
      <c r="D943" s="8" t="s">
        <v>27</v>
      </c>
      <c r="E943" s="8" t="s">
        <v>82</v>
      </c>
      <c r="G943" s="8">
        <v>3754.0</v>
      </c>
      <c r="H943" s="8" t="s">
        <v>45</v>
      </c>
      <c r="K943" s="8" t="s">
        <v>124</v>
      </c>
      <c r="L943" s="8" t="s">
        <v>37</v>
      </c>
      <c r="P943" s="9">
        <v>44121.0</v>
      </c>
      <c r="Q943" s="10">
        <v>0.04166666666424135</v>
      </c>
      <c r="R943" s="11" t="str">
        <f t="shared" si="1"/>
        <v>Настройка установщиков</v>
      </c>
      <c r="S943" s="16" t="str">
        <f>iferror(VLOOKUP(C943,'ФИО'!A:B,2,0),"учётный код не найден")</f>
        <v>Пономарев Юрий Андреевич</v>
      </c>
      <c r="T943" s="13" t="str">
        <f t="shared" si="2"/>
        <v>ПУ 910-00120.D - Печатный узел модуля 2CAN+LIN</v>
      </c>
      <c r="U943" s="8">
        <v>2.0</v>
      </c>
      <c r="V943" s="8">
        <v>0.0</v>
      </c>
      <c r="W943" s="8">
        <v>18.0</v>
      </c>
      <c r="X943" s="14">
        <f t="shared" si="99"/>
        <v>1.222222222</v>
      </c>
      <c r="Y943" s="15">
        <f t="shared" si="100"/>
        <v>0</v>
      </c>
    </row>
    <row r="944" hidden="1">
      <c r="A944" s="7">
        <v>44122.33285372685</v>
      </c>
      <c r="B944" s="8" t="s">
        <v>76</v>
      </c>
      <c r="C944" s="8">
        <v>21852.0</v>
      </c>
      <c r="D944" s="8" t="s">
        <v>27</v>
      </c>
      <c r="E944" s="8" t="s">
        <v>154</v>
      </c>
      <c r="L944" s="8" t="s">
        <v>31</v>
      </c>
      <c r="M944" s="8" t="s">
        <v>34</v>
      </c>
      <c r="P944" s="9">
        <v>44121.0</v>
      </c>
      <c r="Q944" s="10">
        <v>0.04166666666424135</v>
      </c>
      <c r="R944" s="11" t="str">
        <f t="shared" si="1"/>
        <v>Выполнение технологических задач</v>
      </c>
      <c r="S944" s="16" t="str">
        <f>iferror(VLOOKUP(C944,'ФИО'!A:B,2,0),"учётный код не найден")</f>
        <v>Пономарев Юрий Андреевич</v>
      </c>
      <c r="T944" s="13" t="str">
        <f t="shared" si="2"/>
        <v/>
      </c>
      <c r="X944" s="14" t="str">
        <f t="shared" si="99"/>
        <v>Данные не заполены</v>
      </c>
      <c r="Y944" s="15">
        <f t="shared" si="100"/>
        <v>0</v>
      </c>
    </row>
    <row r="945" hidden="1">
      <c r="A945" s="7">
        <v>44122.314260162035</v>
      </c>
      <c r="B945" s="8" t="s">
        <v>76</v>
      </c>
      <c r="C945" s="8">
        <v>22011.0</v>
      </c>
      <c r="D945" s="8" t="s">
        <v>27</v>
      </c>
      <c r="E945" s="8" t="s">
        <v>67</v>
      </c>
      <c r="G945" s="8">
        <v>3754.0</v>
      </c>
      <c r="H945" s="8" t="s">
        <v>45</v>
      </c>
      <c r="K945" s="8" t="s">
        <v>124</v>
      </c>
      <c r="L945" s="8" t="s">
        <v>37</v>
      </c>
      <c r="P945" s="9">
        <v>44121.0</v>
      </c>
      <c r="Q945" s="10">
        <v>0.33333333333575865</v>
      </c>
      <c r="R945" s="11" t="str">
        <f t="shared" si="1"/>
        <v>Сборка на линии Prim</v>
      </c>
      <c r="S945" s="16" t="str">
        <f>iferror(VLOOKUP(C945,'ФИО'!A:B,2,0),"учётный код не найден")</f>
        <v>Сергеев Алексей Андреевич</v>
      </c>
      <c r="T945" s="13" t="str">
        <f t="shared" si="2"/>
        <v>ПУ 910-00120.D - Печатный узел модуля 2CAN+LIN</v>
      </c>
      <c r="U945" s="8">
        <v>0.0</v>
      </c>
      <c r="V945" s="8">
        <v>0.0</v>
      </c>
      <c r="X945" s="14" t="str">
        <f t="shared" si="99"/>
        <v>Данные не заполены</v>
      </c>
      <c r="Y945" s="15">
        <f t="shared" si="100"/>
        <v>0</v>
      </c>
    </row>
    <row r="946" hidden="1">
      <c r="A946" s="7">
        <v>44122.31483596065</v>
      </c>
      <c r="B946" s="8" t="s">
        <v>76</v>
      </c>
      <c r="C946" s="8">
        <v>22011.0</v>
      </c>
      <c r="D946" s="8" t="s">
        <v>27</v>
      </c>
      <c r="E946" s="8" t="s">
        <v>85</v>
      </c>
      <c r="G946" s="8">
        <v>3754.0</v>
      </c>
      <c r="H946" s="8" t="s">
        <v>45</v>
      </c>
      <c r="K946" s="8" t="s">
        <v>124</v>
      </c>
      <c r="L946" s="8" t="s">
        <v>31</v>
      </c>
      <c r="M946" s="8" t="s">
        <v>34</v>
      </c>
      <c r="P946" s="9">
        <v>44121.0</v>
      </c>
      <c r="Q946" s="10">
        <v>0.027777777781011537</v>
      </c>
      <c r="R946" s="11" t="str">
        <f t="shared" si="1"/>
        <v>Очистка трафаретного принтера</v>
      </c>
      <c r="S946" s="16" t="str">
        <f>iferror(VLOOKUP(C946,'ФИО'!A:B,2,0),"учётный код не найден")</f>
        <v>Сергеев Алексей Андреевич</v>
      </c>
      <c r="T946" s="13" t="str">
        <f t="shared" si="2"/>
        <v>ПУ 910-00120.D - Печатный узел модуля 2CAN+LIN</v>
      </c>
      <c r="U946" s="8">
        <v>2.0</v>
      </c>
      <c r="V946" s="8">
        <v>0.0</v>
      </c>
      <c r="X946" s="14" t="str">
        <f t="shared" si="99"/>
        <v>Данные не заполены</v>
      </c>
      <c r="Y946" s="15">
        <f t="shared" si="100"/>
        <v>0</v>
      </c>
    </row>
    <row r="947" hidden="1">
      <c r="A947" s="7">
        <v>44122.31537225694</v>
      </c>
      <c r="B947" s="8" t="s">
        <v>76</v>
      </c>
      <c r="C947" s="8">
        <v>22011.0</v>
      </c>
      <c r="D947" s="8" t="s">
        <v>27</v>
      </c>
      <c r="E947" s="8" t="s">
        <v>84</v>
      </c>
      <c r="G947" s="8">
        <v>3754.0</v>
      </c>
      <c r="H947" s="8" t="s">
        <v>45</v>
      </c>
      <c r="K947" s="8" t="s">
        <v>124</v>
      </c>
      <c r="L947" s="8" t="s">
        <v>31</v>
      </c>
      <c r="M947" s="8" t="s">
        <v>34</v>
      </c>
      <c r="P947" s="9">
        <v>44121.0</v>
      </c>
      <c r="Q947" s="10">
        <v>0.03472222221898846</v>
      </c>
      <c r="R947" s="11" t="str">
        <f t="shared" si="1"/>
        <v>Настройка принтера Sec</v>
      </c>
      <c r="S947" s="16" t="str">
        <f>iferror(VLOOKUP(C947,'ФИО'!A:B,2,0),"учётный код не найден")</f>
        <v>Сергеев Алексей Андреевич</v>
      </c>
      <c r="T947" s="13" t="str">
        <f t="shared" si="2"/>
        <v>ПУ 910-00120.D - Печатный узел модуля 2CAN+LIN</v>
      </c>
      <c r="U947" s="8">
        <v>1.0</v>
      </c>
      <c r="V947" s="8">
        <v>0.0</v>
      </c>
      <c r="W947" s="8">
        <v>13.0</v>
      </c>
      <c r="X947" s="14">
        <f t="shared" si="99"/>
        <v>1.015384615</v>
      </c>
      <c r="Y947" s="15">
        <f t="shared" si="100"/>
        <v>0</v>
      </c>
    </row>
    <row r="948" hidden="1">
      <c r="A948" s="7">
        <v>44122.31709920139</v>
      </c>
      <c r="B948" s="8" t="s">
        <v>76</v>
      </c>
      <c r="C948" s="8">
        <v>22011.0</v>
      </c>
      <c r="D948" s="8" t="s">
        <v>27</v>
      </c>
      <c r="E948" s="8" t="s">
        <v>154</v>
      </c>
      <c r="L948" s="8" t="s">
        <v>31</v>
      </c>
      <c r="M948" s="8" t="s">
        <v>238</v>
      </c>
      <c r="P948" s="9">
        <v>44121.0</v>
      </c>
      <c r="Q948" s="10">
        <v>0.020833333335758653</v>
      </c>
      <c r="R948" s="11" t="str">
        <f t="shared" si="1"/>
        <v>Выполнение технологических задач</v>
      </c>
      <c r="S948" s="16" t="str">
        <f>iferror(VLOOKUP(C948,'ФИО'!A:B,2,0),"учётный код не найден")</f>
        <v>Сергеев Алексей Андреевич</v>
      </c>
      <c r="T948" s="13" t="str">
        <f t="shared" si="2"/>
        <v/>
      </c>
      <c r="X948" s="14" t="str">
        <f t="shared" si="99"/>
        <v>Данные не заполены</v>
      </c>
      <c r="Y948" s="15">
        <f t="shared" si="100"/>
        <v>0</v>
      </c>
    </row>
    <row r="949" hidden="1">
      <c r="A949" s="7">
        <v>44122.33411028935</v>
      </c>
      <c r="B949" s="8" t="s">
        <v>76</v>
      </c>
      <c r="C949" s="8">
        <v>22011.0</v>
      </c>
      <c r="D949" s="8" t="s">
        <v>27</v>
      </c>
      <c r="E949" s="8" t="s">
        <v>88</v>
      </c>
      <c r="G949" s="8">
        <v>3754.0</v>
      </c>
      <c r="H949" s="8" t="s">
        <v>45</v>
      </c>
      <c r="K949" s="8" t="s">
        <v>124</v>
      </c>
      <c r="L949" s="8" t="s">
        <v>37</v>
      </c>
      <c r="P949" s="9">
        <v>44121.0</v>
      </c>
      <c r="Q949" s="10">
        <v>0.04166666666424135</v>
      </c>
      <c r="R949" s="11" t="str">
        <f t="shared" si="1"/>
        <v>Сборка на линии Sec</v>
      </c>
      <c r="S949" s="16" t="str">
        <f>iferror(VLOOKUP(C949,'ФИО'!A:B,2,0),"учётный код не найден")</f>
        <v>Сергеев Алексей Андреевич</v>
      </c>
      <c r="T949" s="13" t="str">
        <f t="shared" si="2"/>
        <v>ПУ 910-00120.D - Печатный узел модуля 2CAN+LIN</v>
      </c>
      <c r="U949" s="8">
        <v>0.0</v>
      </c>
      <c r="V949" s="8">
        <v>0.0</v>
      </c>
    </row>
    <row r="950" hidden="1">
      <c r="A950" s="7">
        <v>44122.21893440972</v>
      </c>
      <c r="B950" s="8" t="s">
        <v>76</v>
      </c>
      <c r="C950" s="8">
        <v>50000.0</v>
      </c>
      <c r="D950" s="8" t="s">
        <v>27</v>
      </c>
      <c r="E950" s="8" t="s">
        <v>67</v>
      </c>
      <c r="G950" s="8">
        <v>3754.0</v>
      </c>
      <c r="H950" s="8" t="s">
        <v>45</v>
      </c>
      <c r="K950" s="8" t="s">
        <v>124</v>
      </c>
      <c r="L950" s="8" t="s">
        <v>37</v>
      </c>
      <c r="N950" s="8">
        <v>36.0</v>
      </c>
      <c r="O950" s="8">
        <v>39.0</v>
      </c>
      <c r="P950" s="9">
        <v>44121.0</v>
      </c>
      <c r="Q950" s="10">
        <v>0.29166666666424135</v>
      </c>
      <c r="R950" s="11" t="str">
        <f t="shared" si="1"/>
        <v>Сборка на линии Prim</v>
      </c>
      <c r="S950" s="16" t="str">
        <f>iferror(VLOOKUP(C950,'ФИО'!A:B,2,0),"учётный код не найден")</f>
        <v>SMT</v>
      </c>
      <c r="T950" s="13" t="str">
        <f t="shared" si="2"/>
        <v>ПУ 910-00120.D - Печатный узел модуля 2CAN+LIN</v>
      </c>
      <c r="U950" s="8">
        <v>15696.0</v>
      </c>
      <c r="V950" s="8">
        <v>0.0</v>
      </c>
      <c r="W950" s="17">
        <f t="shared" ref="W950:W956" si="104">IFERROR((((38412/(ifs(O950&lt;35,35,O950&gt;34,O950)/N950)*0.7))),"Данные не заполены")</f>
        <v>24820.06154</v>
      </c>
      <c r="X950" s="14">
        <f t="shared" ref="X950:X1022" si="105">IFERROR((((V950+U950)/Q950)/24)/(W950/11),"Данные не заполены")</f>
        <v>0.9937583281</v>
      </c>
      <c r="Y950" s="15">
        <f t="shared" ref="Y950:Y968" si="106">iferror((V950/if(U950=0,1,U950)),0)</f>
        <v>0</v>
      </c>
    </row>
    <row r="951" hidden="1">
      <c r="A951" s="7">
        <v>44122.33175965278</v>
      </c>
      <c r="B951" s="8" t="s">
        <v>76</v>
      </c>
      <c r="C951" s="8">
        <v>50000.0</v>
      </c>
      <c r="D951" s="8" t="s">
        <v>27</v>
      </c>
      <c r="E951" s="8" t="s">
        <v>88</v>
      </c>
      <c r="G951" s="8">
        <v>3754.0</v>
      </c>
      <c r="H951" s="8" t="s">
        <v>45</v>
      </c>
      <c r="K951" s="8" t="s">
        <v>124</v>
      </c>
      <c r="L951" s="8" t="s">
        <v>37</v>
      </c>
      <c r="N951" s="8">
        <v>36.0</v>
      </c>
      <c r="O951" s="8">
        <v>86.0</v>
      </c>
      <c r="P951" s="9">
        <v>44121.0</v>
      </c>
      <c r="Q951" s="10">
        <v>0.024305555554747116</v>
      </c>
      <c r="R951" s="11" t="str">
        <f t="shared" si="1"/>
        <v>Сборка на линии Sec</v>
      </c>
      <c r="S951" s="16" t="str">
        <f>iferror(VLOOKUP(C951,'ФИО'!A:B,2,0),"учётный код не найден")</f>
        <v>SMT</v>
      </c>
      <c r="T951" s="13" t="str">
        <f t="shared" si="2"/>
        <v>ПУ 910-00120.D - Печатный узел модуля 2CAN+LIN</v>
      </c>
      <c r="U951" s="8">
        <v>36.0</v>
      </c>
      <c r="V951" s="8">
        <v>0.0</v>
      </c>
      <c r="W951" s="17">
        <f t="shared" si="104"/>
        <v>11255.6093</v>
      </c>
      <c r="X951" s="14">
        <f t="shared" si="105"/>
        <v>0.06031278491</v>
      </c>
      <c r="Y951" s="15">
        <f t="shared" si="106"/>
        <v>0</v>
      </c>
    </row>
    <row r="952" hidden="1">
      <c r="A952" s="7">
        <v>44119.30671363426</v>
      </c>
      <c r="B952" s="8" t="s">
        <v>94</v>
      </c>
      <c r="C952" s="8">
        <v>20985.0</v>
      </c>
      <c r="D952" s="8" t="s">
        <v>69</v>
      </c>
      <c r="F952" s="8" t="s">
        <v>103</v>
      </c>
      <c r="G952" s="8">
        <v>2958.0</v>
      </c>
      <c r="H952" s="8" t="s">
        <v>29</v>
      </c>
      <c r="I952" s="8" t="s">
        <v>212</v>
      </c>
      <c r="L952" s="8" t="s">
        <v>37</v>
      </c>
      <c r="P952" s="9">
        <v>44118.0</v>
      </c>
      <c r="Q952" s="10">
        <v>0.08333333333575865</v>
      </c>
      <c r="R952" s="11" t="str">
        <f t="shared" si="1"/>
        <v>Проверка на АОИ PRI</v>
      </c>
      <c r="S952" s="16" t="str">
        <f>iferror(VLOOKUP(C952,'ФИО'!A:B,2,0),"учётный код не найден")</f>
        <v>Никонорова Наталия Владимировна</v>
      </c>
      <c r="T952" s="13" t="str">
        <f t="shared" si="2"/>
        <v>КТ-500 (Производственный Альянс)</v>
      </c>
      <c r="U952" s="8">
        <v>0.0</v>
      </c>
      <c r="V952" s="8">
        <v>0.0</v>
      </c>
      <c r="W952" s="17" t="str">
        <f t="shared" si="104"/>
        <v>Данные не заполены</v>
      </c>
      <c r="X952" s="14" t="str">
        <f t="shared" si="105"/>
        <v>Данные не заполены</v>
      </c>
      <c r="Y952" s="15">
        <f t="shared" si="106"/>
        <v>0</v>
      </c>
    </row>
    <row r="953" hidden="1">
      <c r="A953" s="7">
        <v>44119.30855232639</v>
      </c>
      <c r="B953" s="8" t="s">
        <v>94</v>
      </c>
      <c r="C953" s="8">
        <v>20985.0</v>
      </c>
      <c r="D953" s="8" t="s">
        <v>69</v>
      </c>
      <c r="F953" s="8" t="s">
        <v>103</v>
      </c>
      <c r="G953" s="8">
        <v>2580.0</v>
      </c>
      <c r="H953" s="8" t="s">
        <v>29</v>
      </c>
      <c r="I953" s="8" t="s">
        <v>145</v>
      </c>
      <c r="L953" s="8" t="s">
        <v>37</v>
      </c>
      <c r="P953" s="9">
        <v>44118.0</v>
      </c>
      <c r="Q953" s="10">
        <v>0.04166666666424135</v>
      </c>
      <c r="R953" s="11" t="str">
        <f t="shared" si="1"/>
        <v>Проверка на АОИ PRI</v>
      </c>
      <c r="S953" s="16" t="str">
        <f>iferror(VLOOKUP(C953,'ФИО'!A:B,2,0),"учётный код не найден")</f>
        <v>Никонорова Наталия Владимировна</v>
      </c>
      <c r="T953" s="13" t="str">
        <f t="shared" si="2"/>
        <v>XR (OÜ KLARBERG)</v>
      </c>
      <c r="U953" s="8">
        <v>0.0</v>
      </c>
      <c r="V953" s="8">
        <v>0.0</v>
      </c>
      <c r="W953" s="17" t="str">
        <f t="shared" si="104"/>
        <v>Данные не заполены</v>
      </c>
      <c r="X953" s="14" t="str">
        <f t="shared" si="105"/>
        <v>Данные не заполены</v>
      </c>
      <c r="Y953" s="15">
        <f t="shared" si="106"/>
        <v>0</v>
      </c>
    </row>
    <row r="954" hidden="1">
      <c r="A954" s="7">
        <v>44115.81235940973</v>
      </c>
      <c r="B954" s="8" t="s">
        <v>87</v>
      </c>
      <c r="C954" s="8">
        <v>20015.0</v>
      </c>
      <c r="D954" s="8" t="s">
        <v>69</v>
      </c>
      <c r="F954" s="8" t="s">
        <v>104</v>
      </c>
      <c r="L954" s="8" t="s">
        <v>31</v>
      </c>
      <c r="M954" s="8" t="s">
        <v>34</v>
      </c>
      <c r="N954" s="8"/>
      <c r="O954" s="8"/>
      <c r="P954" s="9">
        <v>44115.0</v>
      </c>
      <c r="Q954" s="10">
        <v>0.4305555555547471</v>
      </c>
      <c r="R954" s="11" t="str">
        <f t="shared" si="1"/>
        <v>Обучение</v>
      </c>
      <c r="S954" s="16" t="str">
        <f>iferror(VLOOKUP(C954,'ФИО'!A:B,2,0),"учётный код не найден")</f>
        <v>Ельцов Андрей Николаевич</v>
      </c>
      <c r="T954" s="13" t="str">
        <f t="shared" si="2"/>
        <v/>
      </c>
      <c r="W954" s="21" t="str">
        <f t="shared" si="104"/>
        <v>Данные не заполены</v>
      </c>
      <c r="X954" s="15" t="str">
        <f t="shared" si="105"/>
        <v>Данные не заполены</v>
      </c>
      <c r="Y954" s="15">
        <f t="shared" si="106"/>
        <v>0</v>
      </c>
    </row>
    <row r="955" hidden="1">
      <c r="A955" s="7">
        <v>44111.81175652778</v>
      </c>
      <c r="B955" s="8" t="s">
        <v>89</v>
      </c>
      <c r="C955" s="8">
        <v>20015.0</v>
      </c>
      <c r="D955" s="8" t="s">
        <v>69</v>
      </c>
      <c r="F955" s="8" t="s">
        <v>104</v>
      </c>
      <c r="L955" s="8" t="s">
        <v>31</v>
      </c>
      <c r="M955" s="8" t="s">
        <v>34</v>
      </c>
      <c r="N955" s="8"/>
      <c r="O955" s="8"/>
      <c r="P955" s="9">
        <v>44111.0</v>
      </c>
      <c r="Q955" s="10">
        <v>0.33333333333575865</v>
      </c>
      <c r="R955" s="11" t="str">
        <f t="shared" si="1"/>
        <v>Обучение</v>
      </c>
      <c r="S955" s="16" t="str">
        <f>iferror(VLOOKUP(C955,'ФИО'!A:B,2,0),"учётный код не найден")</f>
        <v>Ельцов Андрей Николаевич</v>
      </c>
      <c r="T955" s="13" t="str">
        <f t="shared" si="2"/>
        <v/>
      </c>
      <c r="W955" s="21" t="str">
        <f t="shared" si="104"/>
        <v>Данные не заполены</v>
      </c>
      <c r="X955" s="15" t="str">
        <f t="shared" si="105"/>
        <v>Данные не заполены</v>
      </c>
      <c r="Y955" s="15">
        <f t="shared" si="106"/>
        <v>0</v>
      </c>
    </row>
    <row r="956" hidden="1">
      <c r="A956" s="7">
        <v>44119.742726550925</v>
      </c>
      <c r="B956" s="8" t="s">
        <v>89</v>
      </c>
      <c r="C956" s="8">
        <v>20015.0</v>
      </c>
      <c r="D956" s="8" t="s">
        <v>69</v>
      </c>
      <c r="F956" s="8" t="s">
        <v>104</v>
      </c>
      <c r="L956" s="8" t="s">
        <v>31</v>
      </c>
      <c r="M956" s="8" t="s">
        <v>34</v>
      </c>
      <c r="P956" s="9">
        <v>44119.0</v>
      </c>
      <c r="Q956" s="10">
        <v>0.04166666666424135</v>
      </c>
      <c r="R956" s="11" t="str">
        <f t="shared" si="1"/>
        <v>Обучение</v>
      </c>
      <c r="S956" s="16" t="str">
        <f>iferror(VLOOKUP(C956,'ФИО'!A:B,2,0),"учётный код не найден")</f>
        <v>Ельцов Андрей Николаевич</v>
      </c>
      <c r="T956" s="13" t="str">
        <f t="shared" si="2"/>
        <v/>
      </c>
      <c r="W956" s="17" t="str">
        <f t="shared" si="104"/>
        <v>Данные не заполены</v>
      </c>
      <c r="X956" s="14" t="str">
        <f t="shared" si="105"/>
        <v>Данные не заполены</v>
      </c>
      <c r="Y956" s="15">
        <f t="shared" si="106"/>
        <v>0</v>
      </c>
    </row>
    <row r="957" hidden="1">
      <c r="A957" s="7">
        <v>44122.82990600694</v>
      </c>
      <c r="B957" s="8" t="s">
        <v>87</v>
      </c>
      <c r="C957" s="8">
        <v>21752.0</v>
      </c>
      <c r="D957" s="8" t="s">
        <v>69</v>
      </c>
      <c r="F957" s="8" t="s">
        <v>103</v>
      </c>
      <c r="G957" s="8">
        <v>3750.0</v>
      </c>
      <c r="H957" s="8" t="s">
        <v>45</v>
      </c>
      <c r="K957" s="8" t="s">
        <v>46</v>
      </c>
      <c r="L957" s="8" t="s">
        <v>37</v>
      </c>
      <c r="P957" s="9">
        <v>44122.0</v>
      </c>
      <c r="Q957" s="10">
        <v>0.27083333333575865</v>
      </c>
      <c r="R957" s="11" t="str">
        <f t="shared" si="1"/>
        <v>Проверка на АОИ PRI</v>
      </c>
      <c r="S957" s="16" t="str">
        <f>iferror(VLOOKUP(C957,'ФИО'!A:B,2,0),"учётный код не найден")</f>
        <v>Егоров Александр Александрович</v>
      </c>
      <c r="T957" s="13" t="str">
        <f t="shared" si="2"/>
        <v>ПУ 910-00349.A "Печатный узел основного блока E96 4LIN"</v>
      </c>
      <c r="U957" s="8">
        <v>288.0</v>
      </c>
      <c r="V957" s="8">
        <v>84.0</v>
      </c>
      <c r="X957" s="14" t="str">
        <f t="shared" si="105"/>
        <v>Данные не заполены</v>
      </c>
      <c r="Y957" s="15">
        <f t="shared" si="106"/>
        <v>0.2916666667</v>
      </c>
    </row>
    <row r="958" hidden="1">
      <c r="A958" s="7">
        <v>44122.82991298611</v>
      </c>
      <c r="B958" s="8" t="s">
        <v>87</v>
      </c>
      <c r="C958" s="8">
        <v>21928.0</v>
      </c>
      <c r="D958" s="8" t="s">
        <v>69</v>
      </c>
      <c r="F958" s="8" t="s">
        <v>103</v>
      </c>
      <c r="G958" s="8">
        <v>3750.0</v>
      </c>
      <c r="H958" s="8" t="s">
        <v>45</v>
      </c>
      <c r="K958" s="8" t="s">
        <v>46</v>
      </c>
      <c r="L958" s="8" t="s">
        <v>37</v>
      </c>
      <c r="P958" s="9">
        <v>44122.0</v>
      </c>
      <c r="Q958" s="10">
        <v>0.04166666666424135</v>
      </c>
      <c r="R958" s="11" t="str">
        <f t="shared" si="1"/>
        <v>Проверка на АОИ PRI</v>
      </c>
      <c r="S958" s="16" t="str">
        <f>iferror(VLOOKUP(C958,'ФИО'!A:B,2,0),"учётный код не найден")</f>
        <v>Савченко Виктория Андреевна</v>
      </c>
      <c r="T958" s="13" t="str">
        <f t="shared" si="2"/>
        <v>ПУ 910-00349.A "Печатный узел основного блока E96 4LIN"</v>
      </c>
      <c r="U958" s="8">
        <v>0.0</v>
      </c>
      <c r="V958" s="8">
        <v>0.0</v>
      </c>
      <c r="X958" s="14" t="str">
        <f t="shared" si="105"/>
        <v>Данные не заполены</v>
      </c>
      <c r="Y958" s="15">
        <f t="shared" si="106"/>
        <v>0</v>
      </c>
    </row>
    <row r="959" hidden="1">
      <c r="A959" s="7">
        <v>44126.829918703705</v>
      </c>
      <c r="B959" s="8" t="s">
        <v>89</v>
      </c>
      <c r="C959" s="8">
        <v>22011.0</v>
      </c>
      <c r="D959" s="8" t="s">
        <v>69</v>
      </c>
      <c r="F959" s="8" t="s">
        <v>103</v>
      </c>
      <c r="G959" s="8">
        <v>3253.0</v>
      </c>
      <c r="H959" s="8" t="s">
        <v>29</v>
      </c>
      <c r="I959" s="8" t="s">
        <v>95</v>
      </c>
      <c r="L959" s="8" t="s">
        <v>37</v>
      </c>
      <c r="P959" s="9">
        <v>44126.0</v>
      </c>
      <c r="Q959" s="10">
        <v>0.04166666666424135</v>
      </c>
      <c r="R959" s="11" t="str">
        <f t="shared" si="1"/>
        <v>Проверка на АОИ PRI</v>
      </c>
      <c r="S959" s="16" t="str">
        <f>iferror(VLOOKUP(C959,'ФИО'!A:B,2,0),"учётный код не найден")</f>
        <v>Сергеев Алексей Андреевич</v>
      </c>
      <c r="T959" s="13" t="str">
        <f t="shared" si="2"/>
        <v>915-00095.A - ПКД-8В-1 АСЛБ.467249.108 (Квант)</v>
      </c>
      <c r="U959" s="8">
        <v>8.0</v>
      </c>
      <c r="V959" s="8">
        <v>0.0</v>
      </c>
      <c r="W959" s="17" t="str">
        <f t="shared" ref="W959:W971" si="107">IFERROR((((38412/(ifs(O959&lt;35,35,O959&gt;34,O959)/N959)*0.7))),"Данные не заполены")</f>
        <v>Данные не заполены</v>
      </c>
      <c r="X959" s="14" t="str">
        <f t="shared" si="105"/>
        <v>Данные не заполены</v>
      </c>
      <c r="Y959" s="15">
        <f t="shared" si="106"/>
        <v>0</v>
      </c>
    </row>
    <row r="960" hidden="1">
      <c r="A960" s="7">
        <v>44126.83030930556</v>
      </c>
      <c r="B960" s="8" t="s">
        <v>89</v>
      </c>
      <c r="C960" s="8">
        <v>22011.0</v>
      </c>
      <c r="D960" s="8" t="s">
        <v>69</v>
      </c>
      <c r="F960" s="8" t="s">
        <v>103</v>
      </c>
      <c r="G960" s="8">
        <v>3252.0</v>
      </c>
      <c r="H960" s="8" t="s">
        <v>29</v>
      </c>
      <c r="I960" s="8" t="s">
        <v>96</v>
      </c>
      <c r="L960" s="8" t="s">
        <v>37</v>
      </c>
      <c r="P960" s="9">
        <v>44126.0</v>
      </c>
      <c r="Q960" s="10">
        <v>0.04166666666424135</v>
      </c>
      <c r="R960" s="11" t="str">
        <f t="shared" si="1"/>
        <v>Проверка на АОИ PRI</v>
      </c>
      <c r="S960" s="16" t="str">
        <f>iferror(VLOOKUP(C960,'ФИО'!A:B,2,0),"учётный код не найден")</f>
        <v>Сергеев Алексей Андреевич</v>
      </c>
      <c r="T960" s="13" t="str">
        <f t="shared" si="2"/>
        <v>915-00096.A - ПКД-8В-2 АСЛБ.467249.109</v>
      </c>
      <c r="U960" s="8">
        <v>4.0</v>
      </c>
      <c r="V960" s="8">
        <v>0.0</v>
      </c>
      <c r="W960" s="17" t="str">
        <f t="shared" si="107"/>
        <v>Данные не заполены</v>
      </c>
      <c r="X960" s="14" t="str">
        <f t="shared" si="105"/>
        <v>Данные не заполены</v>
      </c>
      <c r="Y960" s="15">
        <f t="shared" si="106"/>
        <v>0</v>
      </c>
    </row>
    <row r="961" hidden="1">
      <c r="A961" s="7">
        <v>44127.31194837963</v>
      </c>
      <c r="B961" s="8" t="s">
        <v>94</v>
      </c>
      <c r="C961" s="8">
        <v>20985.0</v>
      </c>
      <c r="D961" s="8" t="s">
        <v>69</v>
      </c>
      <c r="F961" s="8" t="s">
        <v>103</v>
      </c>
      <c r="G961" s="8">
        <v>3252.0</v>
      </c>
      <c r="H961" s="8" t="s">
        <v>29</v>
      </c>
      <c r="I961" s="8" t="s">
        <v>96</v>
      </c>
      <c r="L961" s="8" t="s">
        <v>37</v>
      </c>
      <c r="P961" s="9">
        <v>44126.0</v>
      </c>
      <c r="Q961" s="10">
        <v>0.0625</v>
      </c>
      <c r="R961" s="11" t="str">
        <f t="shared" si="1"/>
        <v>Проверка на АОИ PRI</v>
      </c>
      <c r="S961" s="16" t="str">
        <f>iferror(VLOOKUP(C961,'ФИО'!A:B,2,0),"учётный код не найден")</f>
        <v>Никонорова Наталия Владимировна</v>
      </c>
      <c r="T961" s="13" t="str">
        <f t="shared" si="2"/>
        <v>915-00096.A - ПКД-8В-2 АСЛБ.467249.109</v>
      </c>
      <c r="U961" s="8">
        <v>34.0</v>
      </c>
      <c r="V961" s="8">
        <v>0.0</v>
      </c>
      <c r="W961" s="17" t="str">
        <f t="shared" si="107"/>
        <v>Данные не заполены</v>
      </c>
      <c r="X961" s="14" t="str">
        <f t="shared" si="105"/>
        <v>Данные не заполены</v>
      </c>
      <c r="Y961" s="15">
        <f t="shared" si="106"/>
        <v>0</v>
      </c>
    </row>
    <row r="962" hidden="1">
      <c r="A962" s="7">
        <v>44117.329103819444</v>
      </c>
      <c r="B962" s="8" t="s">
        <v>38</v>
      </c>
      <c r="C962" s="8">
        <v>22087.0</v>
      </c>
      <c r="D962" s="8" t="s">
        <v>27</v>
      </c>
      <c r="E962" s="8" t="s">
        <v>97</v>
      </c>
      <c r="G962" s="8">
        <v>3238.0</v>
      </c>
      <c r="H962" s="8" t="s">
        <v>29</v>
      </c>
      <c r="I962" s="8" t="s">
        <v>43</v>
      </c>
      <c r="L962" s="8" t="s">
        <v>37</v>
      </c>
      <c r="P962" s="9">
        <v>44116.0</v>
      </c>
      <c r="Q962" s="10">
        <v>0.05208333333575865</v>
      </c>
      <c r="R962" s="11" t="str">
        <f t="shared" si="1"/>
        <v>Проверка плат на АОИ Prim</v>
      </c>
      <c r="S962" s="16" t="str">
        <f>iferror(VLOOKUP(C962,'ФИО'!A:B,2,0),"учётный код не найден")</f>
        <v>Хохряков Илья Александрович</v>
      </c>
      <c r="T962" s="13" t="str">
        <f t="shared" si="2"/>
        <v>915-00097.A - ПКД-8В-3 АСЛБ.467249.110 (Квант)</v>
      </c>
      <c r="U962" s="8">
        <v>0.0</v>
      </c>
      <c r="V962" s="8">
        <v>12.0</v>
      </c>
      <c r="W962" s="21" t="str">
        <f t="shared" si="107"/>
        <v>Данные не заполены</v>
      </c>
      <c r="X962" s="15" t="str">
        <f t="shared" si="105"/>
        <v>Данные не заполены</v>
      </c>
      <c r="Y962" s="15">
        <f t="shared" si="106"/>
        <v>12</v>
      </c>
      <c r="Z962" s="8" t="s">
        <v>239</v>
      </c>
    </row>
    <row r="963" hidden="1">
      <c r="A963" s="7">
        <v>44131.33600429398</v>
      </c>
      <c r="B963" s="8" t="s">
        <v>76</v>
      </c>
      <c r="C963" s="8">
        <v>21852.0</v>
      </c>
      <c r="D963" s="8" t="s">
        <v>69</v>
      </c>
      <c r="F963" s="8" t="s">
        <v>103</v>
      </c>
      <c r="G963" s="8">
        <v>3253.0</v>
      </c>
      <c r="H963" s="8" t="s">
        <v>29</v>
      </c>
      <c r="I963" s="8" t="s">
        <v>95</v>
      </c>
      <c r="L963" s="8" t="s">
        <v>37</v>
      </c>
      <c r="P963" s="9">
        <v>44130.0</v>
      </c>
      <c r="Q963" s="10">
        <v>0.04166666666424135</v>
      </c>
      <c r="R963" s="11" t="str">
        <f t="shared" si="1"/>
        <v>Проверка на АОИ PRI</v>
      </c>
      <c r="S963" s="12" t="str">
        <f>iferror(VLOOKUP(C963,'ФИО'!A:B,2,0),"учётный код не найден")</f>
        <v>Пономарев Юрий Андреевич</v>
      </c>
      <c r="T963" s="13" t="str">
        <f t="shared" si="2"/>
        <v>915-00095.A - ПКД-8В-1 АСЛБ.467249.108 (Квант)</v>
      </c>
      <c r="U963" s="8">
        <v>31.0</v>
      </c>
      <c r="V963" s="8">
        <v>0.0</v>
      </c>
      <c r="W963" s="17" t="str">
        <f t="shared" si="107"/>
        <v>Данные не заполены</v>
      </c>
      <c r="X963" s="14" t="str">
        <f t="shared" si="105"/>
        <v>Данные не заполены</v>
      </c>
      <c r="Y963" s="15">
        <f t="shared" si="106"/>
        <v>0</v>
      </c>
    </row>
    <row r="964" hidden="1">
      <c r="A964" s="7">
        <v>44116.324210023144</v>
      </c>
      <c r="B964" s="8" t="s">
        <v>38</v>
      </c>
      <c r="C964" s="8">
        <v>21475.0</v>
      </c>
      <c r="D964" s="8" t="s">
        <v>27</v>
      </c>
      <c r="E964" s="8" t="s">
        <v>67</v>
      </c>
      <c r="G964" s="8">
        <v>3750.0</v>
      </c>
      <c r="H964" s="8" t="s">
        <v>45</v>
      </c>
      <c r="K964" s="8" t="s">
        <v>46</v>
      </c>
      <c r="L964" s="8" t="s">
        <v>37</v>
      </c>
      <c r="P964" s="9">
        <v>44115.0</v>
      </c>
      <c r="Q964" s="10">
        <v>0.45833333333575865</v>
      </c>
      <c r="R964" s="11" t="str">
        <f t="shared" si="1"/>
        <v>Сборка на линии Prim</v>
      </c>
      <c r="S964" s="16" t="str">
        <f>iferror(VLOOKUP(C964,'ФИО'!A:B,2,0),"учётный код не найден")</f>
        <v>Байрамашвили Альберт Зурабович</v>
      </c>
      <c r="T964" s="13" t="str">
        <f t="shared" si="2"/>
        <v>ПУ 910-00349.A "Печатный узел основного блока E96 4LIN"</v>
      </c>
      <c r="U964" s="8">
        <v>0.0</v>
      </c>
      <c r="V964" s="8">
        <v>0.0</v>
      </c>
      <c r="W964" s="21" t="str">
        <f t="shared" si="107"/>
        <v>Данные не заполены</v>
      </c>
      <c r="X964" s="15" t="str">
        <f t="shared" si="105"/>
        <v>Данные не заполены</v>
      </c>
      <c r="Y964" s="15">
        <f t="shared" si="106"/>
        <v>0</v>
      </c>
    </row>
    <row r="965" hidden="1">
      <c r="A965" s="7">
        <v>44107.32204302083</v>
      </c>
      <c r="B965" s="8" t="s">
        <v>76</v>
      </c>
      <c r="C965" s="8">
        <v>22011.0</v>
      </c>
      <c r="D965" s="8" t="s">
        <v>69</v>
      </c>
      <c r="F965" s="8" t="s">
        <v>81</v>
      </c>
      <c r="G965" s="8">
        <v>3047.0</v>
      </c>
      <c r="H965" s="8" t="s">
        <v>29</v>
      </c>
      <c r="I965" s="8" t="s">
        <v>77</v>
      </c>
      <c r="L965" s="8" t="s">
        <v>37</v>
      </c>
      <c r="M965" s="8" t="s">
        <v>34</v>
      </c>
      <c r="N965" s="8"/>
      <c r="O965" s="8"/>
      <c r="P965" s="9">
        <v>44106.0</v>
      </c>
      <c r="Q965" s="10">
        <v>0.125</v>
      </c>
      <c r="R965" s="13" t="str">
        <f t="shared" si="1"/>
        <v>Проверка на АОИ SEC</v>
      </c>
      <c r="S965" s="16" t="str">
        <f>iferror(VLOOKUP(C965,'ФИО'!A:B,2,0),"учётный код не найден")</f>
        <v>Сергеев Алексей Андреевич</v>
      </c>
      <c r="T965" s="13" t="str">
        <f t="shared" si="2"/>
        <v>915-00081.A-Модуль Трик8 (Кибертех)</v>
      </c>
      <c r="U965" s="8">
        <v>2.0</v>
      </c>
      <c r="V965" s="8">
        <v>58.0</v>
      </c>
      <c r="W965" s="21" t="str">
        <f t="shared" si="107"/>
        <v>Данные не заполены</v>
      </c>
      <c r="X965" s="15" t="str">
        <f t="shared" si="105"/>
        <v>Данные не заполены</v>
      </c>
      <c r="Y965" s="15">
        <f t="shared" si="106"/>
        <v>29</v>
      </c>
      <c r="Z965" s="8" t="s">
        <v>240</v>
      </c>
    </row>
    <row r="966" hidden="1">
      <c r="A966" s="7">
        <v>44110.14863905092</v>
      </c>
      <c r="B966" s="8" t="s">
        <v>94</v>
      </c>
      <c r="C966" s="8">
        <v>20985.0</v>
      </c>
      <c r="D966" s="8" t="s">
        <v>69</v>
      </c>
      <c r="F966" s="8" t="s">
        <v>81</v>
      </c>
      <c r="G966" s="8">
        <v>3233.0</v>
      </c>
      <c r="H966" s="8" t="s">
        <v>29</v>
      </c>
      <c r="I966" s="8" t="s">
        <v>60</v>
      </c>
      <c r="L966" s="8" t="s">
        <v>31</v>
      </c>
      <c r="M966" s="8" t="s">
        <v>241</v>
      </c>
      <c r="N966" s="8"/>
      <c r="O966" s="8"/>
      <c r="P966" s="9">
        <v>44109.0</v>
      </c>
      <c r="Q966" s="10">
        <v>0.010416666664241347</v>
      </c>
      <c r="R966" s="11" t="str">
        <f t="shared" si="1"/>
        <v>Проверка на АОИ SEC</v>
      </c>
      <c r="S966" s="16" t="str">
        <f>iferror(VLOOKUP(C966,'ФИО'!A:B,2,0),"учётный код не найден")</f>
        <v>Никонорова Наталия Владимировна</v>
      </c>
      <c r="T966" s="13" t="str">
        <f t="shared" si="2"/>
        <v>915-00102.A - ПБОК-2В АСЛБ.465285.013 (Квант)</v>
      </c>
      <c r="U966" s="8">
        <v>8.0</v>
      </c>
      <c r="V966" s="8">
        <v>0.0</v>
      </c>
      <c r="W966" s="21" t="str">
        <f t="shared" si="107"/>
        <v>Данные не заполены</v>
      </c>
      <c r="X966" s="15" t="str">
        <f t="shared" si="105"/>
        <v>Данные не заполены</v>
      </c>
      <c r="Y966" s="15">
        <f t="shared" si="106"/>
        <v>0</v>
      </c>
    </row>
    <row r="967" hidden="1">
      <c r="A967" s="7">
        <v>44110.27661104167</v>
      </c>
      <c r="B967" s="8" t="s">
        <v>94</v>
      </c>
      <c r="C967" s="8">
        <v>20985.0</v>
      </c>
      <c r="D967" s="8" t="s">
        <v>69</v>
      </c>
      <c r="F967" s="8" t="s">
        <v>81</v>
      </c>
      <c r="G967" s="8">
        <v>3232.0</v>
      </c>
      <c r="H967" s="8" t="s">
        <v>29</v>
      </c>
      <c r="I967" s="8" t="s">
        <v>63</v>
      </c>
      <c r="L967" s="8" t="s">
        <v>31</v>
      </c>
      <c r="M967" s="8" t="s">
        <v>241</v>
      </c>
      <c r="N967" s="8"/>
      <c r="O967" s="8"/>
      <c r="P967" s="9">
        <v>44109.0</v>
      </c>
      <c r="Q967" s="10">
        <v>0.020833333335758653</v>
      </c>
      <c r="R967" s="11" t="str">
        <f t="shared" si="1"/>
        <v>Проверка на АОИ SEC</v>
      </c>
      <c r="S967" s="16" t="str">
        <f>iferror(VLOOKUP(C967,'ФИО'!A:B,2,0),"учётный код не найден")</f>
        <v>Никонорова Наталия Владимировна</v>
      </c>
      <c r="T967" s="13" t="str">
        <f t="shared" si="2"/>
        <v>915-00103.A - ПБОК-1В АСЛБ.465285.012 (Квант)</v>
      </c>
      <c r="U967" s="8">
        <v>27.0</v>
      </c>
      <c r="V967" s="8">
        <v>0.0</v>
      </c>
      <c r="W967" s="21" t="str">
        <f t="shared" si="107"/>
        <v>Данные не заполены</v>
      </c>
      <c r="X967" s="15" t="str">
        <f t="shared" si="105"/>
        <v>Данные не заполены</v>
      </c>
      <c r="Y967" s="15">
        <f t="shared" si="106"/>
        <v>0</v>
      </c>
    </row>
    <row r="968" hidden="1">
      <c r="A968" s="7">
        <v>44110.82344770833</v>
      </c>
      <c r="B968" s="8" t="s">
        <v>89</v>
      </c>
      <c r="C968" s="8">
        <v>22011.0</v>
      </c>
      <c r="D968" s="8" t="s">
        <v>69</v>
      </c>
      <c r="F968" s="8" t="s">
        <v>81</v>
      </c>
      <c r="G968" s="8">
        <v>3047.0</v>
      </c>
      <c r="H968" s="8" t="s">
        <v>29</v>
      </c>
      <c r="I968" s="8" t="s">
        <v>77</v>
      </c>
      <c r="L968" s="8" t="s">
        <v>37</v>
      </c>
      <c r="P968" s="9">
        <v>44110.0</v>
      </c>
      <c r="Q968" s="10">
        <v>0.125</v>
      </c>
      <c r="R968" s="11" t="str">
        <f t="shared" si="1"/>
        <v>Проверка на АОИ SEC</v>
      </c>
      <c r="S968" s="16" t="str">
        <f>iferror(VLOOKUP(C968,'ФИО'!A:B,2,0),"учётный код не найден")</f>
        <v>Сергеев Алексей Андреевич</v>
      </c>
      <c r="T968" s="13" t="str">
        <f t="shared" si="2"/>
        <v>915-00081.A-Модуль Трик8 (Кибертех)</v>
      </c>
      <c r="U968" s="8">
        <v>51.0</v>
      </c>
      <c r="V968" s="8">
        <v>0.0</v>
      </c>
      <c r="W968" s="21" t="str">
        <f t="shared" si="107"/>
        <v>Данные не заполены</v>
      </c>
      <c r="X968" s="15" t="str">
        <f t="shared" si="105"/>
        <v>Данные не заполены</v>
      </c>
      <c r="Y968" s="15">
        <f t="shared" si="106"/>
        <v>0</v>
      </c>
    </row>
    <row r="969" hidden="1">
      <c r="A969" s="7">
        <v>44120.843279189816</v>
      </c>
      <c r="B969" s="8" t="s">
        <v>126</v>
      </c>
      <c r="C969" s="8">
        <v>21927.0</v>
      </c>
      <c r="D969" s="8" t="s">
        <v>27</v>
      </c>
      <c r="E969" s="8" t="s">
        <v>65</v>
      </c>
      <c r="G969" s="8">
        <v>3649.0</v>
      </c>
      <c r="H969" s="8" t="s">
        <v>29</v>
      </c>
      <c r="I969" s="8" t="s">
        <v>33</v>
      </c>
      <c r="L969" s="8" t="s">
        <v>31</v>
      </c>
      <c r="M969" s="8" t="s">
        <v>34</v>
      </c>
      <c r="P969" s="9">
        <v>44119.0</v>
      </c>
      <c r="Q969" s="10">
        <v>0.08333333333575865</v>
      </c>
      <c r="R969" s="11" t="str">
        <f t="shared" si="1"/>
        <v>Проверка комплектации</v>
      </c>
      <c r="S969" s="16" t="str">
        <f>iferror(VLOOKUP(C969,'ФИО'!A:B,2,0),"учётный код не найден")</f>
        <v>Шергин Родион Олегович</v>
      </c>
      <c r="T969" s="13" t="str">
        <f t="shared" si="2"/>
        <v>ssfp2.2 (Метротек)</v>
      </c>
      <c r="U969" s="8">
        <v>0.0</v>
      </c>
      <c r="V969" s="8">
        <v>0.0</v>
      </c>
      <c r="W969" s="17" t="str">
        <f t="shared" si="107"/>
        <v>Данные не заполены</v>
      </c>
      <c r="X969" s="14" t="str">
        <f t="shared" si="105"/>
        <v>Данные не заполены</v>
      </c>
    </row>
    <row r="970" hidden="1">
      <c r="A970" s="7">
        <v>44118.83583835648</v>
      </c>
      <c r="B970" s="8" t="s">
        <v>89</v>
      </c>
      <c r="C970" s="8">
        <v>21852.0</v>
      </c>
      <c r="D970" s="8" t="s">
        <v>69</v>
      </c>
      <c r="F970" s="8" t="s">
        <v>81</v>
      </c>
      <c r="G970" s="8">
        <v>3234.0</v>
      </c>
      <c r="H970" s="8" t="s">
        <v>29</v>
      </c>
      <c r="I970" s="8" t="s">
        <v>135</v>
      </c>
      <c r="L970" s="8" t="s">
        <v>37</v>
      </c>
      <c r="P970" s="9">
        <v>44118.0</v>
      </c>
      <c r="Q970" s="10">
        <v>0.04166666666424135</v>
      </c>
      <c r="R970" s="11" t="str">
        <f t="shared" si="1"/>
        <v>Проверка на АОИ SEC</v>
      </c>
      <c r="S970" s="16" t="str">
        <f>iferror(VLOOKUP(C970,'ФИО'!A:B,2,0),"учётный код не найден")</f>
        <v>Пономарев Юрий Андреевич</v>
      </c>
      <c r="T970" s="13" t="str">
        <f t="shared" si="2"/>
        <v>915-00101.A - ПКД-9В АСЛБ.467249.107 (Квант)</v>
      </c>
      <c r="U970" s="8">
        <v>49.0</v>
      </c>
      <c r="V970" s="8">
        <v>0.0</v>
      </c>
      <c r="W970" s="17" t="str">
        <f t="shared" si="107"/>
        <v>Данные не заполены</v>
      </c>
      <c r="X970" s="14" t="str">
        <f t="shared" si="105"/>
        <v>Данные не заполены</v>
      </c>
      <c r="Y970" s="15">
        <f t="shared" ref="Y970:Y1021" si="108">iferror((V970/if(U970=0,1,U970)),0)</f>
        <v>0</v>
      </c>
    </row>
    <row r="971" hidden="1">
      <c r="A971" s="7">
        <v>44131.76178832176</v>
      </c>
      <c r="B971" s="8" t="s">
        <v>87</v>
      </c>
      <c r="C971" s="8">
        <v>20015.0</v>
      </c>
      <c r="D971" s="8" t="s">
        <v>69</v>
      </c>
      <c r="F971" s="8" t="s">
        <v>104</v>
      </c>
      <c r="L971" s="8" t="s">
        <v>31</v>
      </c>
      <c r="M971" s="8" t="s">
        <v>34</v>
      </c>
      <c r="P971" s="9">
        <v>44131.0</v>
      </c>
      <c r="Q971" s="10">
        <v>0.33333333333575865</v>
      </c>
      <c r="R971" s="11" t="str">
        <f t="shared" si="1"/>
        <v>Обучение</v>
      </c>
      <c r="S971" s="12" t="str">
        <f>iferror(VLOOKUP(C971,'ФИО'!A:B,2,0),"учётный код не найден")</f>
        <v>Ельцов Андрей Николаевич</v>
      </c>
      <c r="T971" s="13" t="str">
        <f t="shared" si="2"/>
        <v/>
      </c>
      <c r="W971" s="17" t="str">
        <f t="shared" si="107"/>
        <v>Данные не заполены</v>
      </c>
      <c r="X971" s="14" t="str">
        <f t="shared" si="105"/>
        <v>Данные не заполены</v>
      </c>
      <c r="Y971" s="15">
        <f t="shared" si="108"/>
        <v>0</v>
      </c>
    </row>
    <row r="972" hidden="1">
      <c r="A972" s="7">
        <v>44122.83176001157</v>
      </c>
      <c r="B972" s="8" t="s">
        <v>87</v>
      </c>
      <c r="C972" s="8">
        <v>21752.0</v>
      </c>
      <c r="D972" s="8" t="s">
        <v>69</v>
      </c>
      <c r="F972" s="8" t="s">
        <v>81</v>
      </c>
      <c r="G972" s="8">
        <v>3047.0</v>
      </c>
      <c r="H972" s="8" t="s">
        <v>29</v>
      </c>
      <c r="I972" s="8" t="s">
        <v>77</v>
      </c>
      <c r="L972" s="8" t="s">
        <v>37</v>
      </c>
      <c r="P972" s="9">
        <v>44122.0</v>
      </c>
      <c r="Q972" s="10">
        <v>0.09027777777777778</v>
      </c>
      <c r="R972" s="11" t="str">
        <f t="shared" si="1"/>
        <v>Проверка на АОИ SEC</v>
      </c>
      <c r="S972" s="16" t="str">
        <f>iferror(VLOOKUP(C972,'ФИО'!A:B,2,0),"учётный код не найден")</f>
        <v>Егоров Александр Александрович</v>
      </c>
      <c r="T972" s="13" t="str">
        <f t="shared" si="2"/>
        <v>915-00081.A-Модуль Трик8 (Кибертех)</v>
      </c>
      <c r="U972" s="8">
        <v>28.0</v>
      </c>
      <c r="V972" s="8">
        <v>18.0</v>
      </c>
      <c r="X972" s="14" t="str">
        <f t="shared" si="105"/>
        <v>Данные не заполены</v>
      </c>
      <c r="Y972" s="15">
        <f t="shared" si="108"/>
        <v>0.6428571429</v>
      </c>
    </row>
    <row r="973" hidden="1">
      <c r="A973" s="7">
        <v>44130.783443148146</v>
      </c>
      <c r="B973" s="8" t="s">
        <v>87</v>
      </c>
      <c r="C973" s="8">
        <v>20985.0</v>
      </c>
      <c r="D973" s="8" t="s">
        <v>69</v>
      </c>
      <c r="F973" s="8" t="s">
        <v>81</v>
      </c>
      <c r="G973" s="8">
        <v>3252.0</v>
      </c>
      <c r="H973" s="8" t="s">
        <v>29</v>
      </c>
      <c r="I973" s="8" t="s">
        <v>96</v>
      </c>
      <c r="L973" s="8" t="s">
        <v>31</v>
      </c>
      <c r="M973" s="8" t="s">
        <v>242</v>
      </c>
      <c r="P973" s="9">
        <v>44130.0</v>
      </c>
      <c r="Q973" s="10">
        <v>0.013888888890505768</v>
      </c>
      <c r="R973" s="11" t="str">
        <f t="shared" si="1"/>
        <v>Проверка на АОИ SEC</v>
      </c>
      <c r="S973" s="12" t="str">
        <f>iferror(VLOOKUP(C973,'ФИО'!A:B,2,0),"учётный код не найден")</f>
        <v>Никонорова Наталия Владимировна</v>
      </c>
      <c r="T973" s="13" t="str">
        <f t="shared" si="2"/>
        <v>915-00096.A - ПКД-8В-2 АСЛБ.467249.109</v>
      </c>
      <c r="U973" s="8">
        <v>6.0</v>
      </c>
      <c r="V973" s="8">
        <v>0.0</v>
      </c>
      <c r="W973" s="17" t="str">
        <f t="shared" ref="W973:W989" si="109">IFERROR((((38412/(ifs(O973&lt;35,35,O973&gt;34,O973)/N973)*0.7))),"Данные не заполены")</f>
        <v>Данные не заполены</v>
      </c>
      <c r="X973" s="14" t="str">
        <f t="shared" si="105"/>
        <v>Данные не заполены</v>
      </c>
      <c r="Y973" s="15">
        <f t="shared" si="108"/>
        <v>0</v>
      </c>
    </row>
    <row r="974" hidden="1">
      <c r="A974" s="7">
        <v>44130.78763324074</v>
      </c>
      <c r="B974" s="8" t="s">
        <v>87</v>
      </c>
      <c r="C974" s="8">
        <v>20985.0</v>
      </c>
      <c r="D974" s="8" t="s">
        <v>69</v>
      </c>
      <c r="F974" s="8" t="s">
        <v>81</v>
      </c>
      <c r="G974" s="8">
        <v>3253.0</v>
      </c>
      <c r="H974" s="8" t="s">
        <v>29</v>
      </c>
      <c r="I974" s="8" t="s">
        <v>95</v>
      </c>
      <c r="L974" s="8" t="s">
        <v>31</v>
      </c>
      <c r="M974" s="8" t="s">
        <v>242</v>
      </c>
      <c r="P974" s="9">
        <v>44130.0</v>
      </c>
      <c r="Q974" s="10">
        <v>0.08333333333575865</v>
      </c>
      <c r="R974" s="11" t="str">
        <f t="shared" si="1"/>
        <v>Проверка на АОИ SEC</v>
      </c>
      <c r="S974" s="12" t="str">
        <f>iferror(VLOOKUP(C974,'ФИО'!A:B,2,0),"учётный код не найден")</f>
        <v>Никонорова Наталия Владимировна</v>
      </c>
      <c r="T974" s="13" t="str">
        <f t="shared" si="2"/>
        <v>915-00095.A - ПКД-8В-1 АСЛБ.467249.108 (Квант)</v>
      </c>
      <c r="U974" s="8">
        <v>46.0</v>
      </c>
      <c r="V974" s="8">
        <v>0.0</v>
      </c>
      <c r="W974" s="17" t="str">
        <f t="shared" si="109"/>
        <v>Данные не заполены</v>
      </c>
      <c r="X974" s="14" t="str">
        <f t="shared" si="105"/>
        <v>Данные не заполены</v>
      </c>
      <c r="Y974" s="15">
        <f t="shared" si="108"/>
        <v>0</v>
      </c>
    </row>
    <row r="975" hidden="1">
      <c r="A975" s="7">
        <v>44106.83024135417</v>
      </c>
      <c r="B975" s="8" t="s">
        <v>87</v>
      </c>
      <c r="C975" s="8">
        <v>21426.0</v>
      </c>
      <c r="D975" s="8" t="s">
        <v>27</v>
      </c>
      <c r="E975" s="8" t="s">
        <v>66</v>
      </c>
      <c r="G975" s="8">
        <v>3579.0</v>
      </c>
      <c r="H975" s="8" t="s">
        <v>29</v>
      </c>
      <c r="I975" s="8" t="s">
        <v>42</v>
      </c>
      <c r="L975" s="8" t="s">
        <v>31</v>
      </c>
      <c r="M975" s="8" t="s">
        <v>34</v>
      </c>
      <c r="N975" s="8"/>
      <c r="O975" s="8"/>
      <c r="P975" s="9">
        <v>44106.0</v>
      </c>
      <c r="Q975" s="10">
        <v>0.14583333333575865</v>
      </c>
      <c r="R975" s="13" t="str">
        <f t="shared" si="1"/>
        <v>Проверка первой платы до оплавления</v>
      </c>
      <c r="S975" s="16" t="str">
        <f>iferror(VLOOKUP(C975,'ФИО'!A:B,2,0),"учётный код не найден")</f>
        <v>Скибинский Антон Германович</v>
      </c>
      <c r="T975" s="13" t="str">
        <f t="shared" si="2"/>
        <v>915-00070.A - Модуль телематики ТМ1 v3 (Сознательные машины)</v>
      </c>
      <c r="U975" s="8">
        <v>0.0</v>
      </c>
      <c r="V975" s="8">
        <v>0.0</v>
      </c>
      <c r="W975" s="21" t="str">
        <f t="shared" si="109"/>
        <v>Данные не заполены</v>
      </c>
      <c r="X975" s="15" t="str">
        <f t="shared" si="105"/>
        <v>Данные не заполены</v>
      </c>
      <c r="Y975" s="15">
        <f t="shared" si="108"/>
        <v>0</v>
      </c>
    </row>
    <row r="976" hidden="1">
      <c r="A976" s="7">
        <v>44119.298668773146</v>
      </c>
      <c r="B976" s="8" t="s">
        <v>87</v>
      </c>
      <c r="C976" s="8">
        <v>22575.0</v>
      </c>
      <c r="D976" s="8" t="s">
        <v>27</v>
      </c>
      <c r="E976" s="8" t="s">
        <v>82</v>
      </c>
      <c r="G976" s="8">
        <v>3622.0</v>
      </c>
      <c r="H976" s="8" t="s">
        <v>29</v>
      </c>
      <c r="I976" s="8" t="s">
        <v>90</v>
      </c>
      <c r="L976" s="8" t="s">
        <v>31</v>
      </c>
      <c r="M976" s="8" t="s">
        <v>34</v>
      </c>
      <c r="P976" s="9">
        <v>44118.0</v>
      </c>
      <c r="Q976" s="10">
        <v>0.04166666666424135</v>
      </c>
      <c r="R976" s="11" t="str">
        <f t="shared" si="1"/>
        <v>Настройка установщиков</v>
      </c>
      <c r="S976" s="16" t="str">
        <f>iferror(VLOOKUP(C976,'ФИО'!A:B,2,0),"учётный код не найден")</f>
        <v>Куликов Виктор Алексеевич</v>
      </c>
      <c r="T976" s="13" t="str">
        <f t="shared" si="2"/>
        <v>915-00124.A - Tioga Pass_v1.1 (Гагар.ин)</v>
      </c>
      <c r="U976" s="8">
        <v>0.0</v>
      </c>
      <c r="V976" s="8">
        <v>0.0</v>
      </c>
      <c r="W976" s="17" t="str">
        <f t="shared" si="109"/>
        <v>Данные не заполены</v>
      </c>
      <c r="X976" s="14" t="str">
        <f t="shared" si="105"/>
        <v>Данные не заполены</v>
      </c>
      <c r="Y976" s="15">
        <f t="shared" si="108"/>
        <v>0</v>
      </c>
    </row>
    <row r="977" hidden="1">
      <c r="A977" s="7">
        <v>44110.32927072917</v>
      </c>
      <c r="B977" s="8" t="s">
        <v>94</v>
      </c>
      <c r="C977" s="8">
        <v>21426.0</v>
      </c>
      <c r="D977" s="8" t="s">
        <v>27</v>
      </c>
      <c r="E977" s="8" t="s">
        <v>66</v>
      </c>
      <c r="G977" s="8">
        <v>3726.0</v>
      </c>
      <c r="H977" s="8" t="s">
        <v>45</v>
      </c>
      <c r="K977" s="8" t="s">
        <v>58</v>
      </c>
      <c r="L977" s="8" t="s">
        <v>31</v>
      </c>
      <c r="M977" s="8" t="s">
        <v>34</v>
      </c>
      <c r="N977" s="8"/>
      <c r="O977" s="8"/>
      <c r="P977" s="9">
        <v>44109.0</v>
      </c>
      <c r="Q977" s="10">
        <v>0.013888888890505768</v>
      </c>
      <c r="R977" s="11" t="str">
        <f t="shared" si="1"/>
        <v>Проверка первой платы до оплавления</v>
      </c>
      <c r="S977" s="16" t="str">
        <f>iferror(VLOOKUP(C977,'ФИО'!A:B,2,0),"учётный код не найден")</f>
        <v>Скибинский Антон Германович</v>
      </c>
      <c r="T977" s="13" t="str">
        <f t="shared" si="2"/>
        <v>ПУ метки i95</v>
      </c>
      <c r="U977" s="8">
        <v>0.0</v>
      </c>
      <c r="V977" s="8">
        <v>0.0</v>
      </c>
      <c r="W977" s="21" t="str">
        <f t="shared" si="109"/>
        <v>Данные не заполены</v>
      </c>
      <c r="X977" s="15" t="str">
        <f t="shared" si="105"/>
        <v>Данные не заполены</v>
      </c>
      <c r="Y977" s="15">
        <f t="shared" si="108"/>
        <v>0</v>
      </c>
    </row>
    <row r="978" hidden="1">
      <c r="A978" s="7">
        <v>44122.844169895834</v>
      </c>
      <c r="B978" s="8" t="s">
        <v>87</v>
      </c>
      <c r="C978" s="8">
        <v>50000.0</v>
      </c>
      <c r="D978" s="8" t="s">
        <v>27</v>
      </c>
      <c r="E978" s="8" t="s">
        <v>88</v>
      </c>
      <c r="G978" s="8">
        <v>3754.0</v>
      </c>
      <c r="H978" s="8" t="s">
        <v>45</v>
      </c>
      <c r="K978" s="8" t="s">
        <v>124</v>
      </c>
      <c r="L978" s="8" t="s">
        <v>37</v>
      </c>
      <c r="N978" s="8">
        <v>36.0</v>
      </c>
      <c r="O978" s="8">
        <v>97.0</v>
      </c>
      <c r="P978" s="9">
        <v>44122.0</v>
      </c>
      <c r="Q978" s="10">
        <v>0.07708333333721384</v>
      </c>
      <c r="R978" s="11" t="str">
        <f t="shared" si="1"/>
        <v>Сборка на линии Sec</v>
      </c>
      <c r="S978" s="16" t="str">
        <f>iferror(VLOOKUP(C978,'ФИО'!A:B,2,0),"учётный код не найден")</f>
        <v>SMT</v>
      </c>
      <c r="T978" s="13" t="str">
        <f t="shared" si="2"/>
        <v>ПУ 910-00120.D - Печатный узел модуля 2CAN+LIN</v>
      </c>
      <c r="U978" s="8">
        <v>1800.0</v>
      </c>
      <c r="V978" s="8">
        <v>0.0</v>
      </c>
      <c r="W978" s="17">
        <f t="shared" si="109"/>
        <v>9979.2</v>
      </c>
      <c r="X978" s="14">
        <f t="shared" si="105"/>
        <v>1.072501072</v>
      </c>
      <c r="Y978" s="15">
        <f t="shared" si="108"/>
        <v>0</v>
      </c>
    </row>
    <row r="979">
      <c r="A979" s="7">
        <v>44122.825293726855</v>
      </c>
      <c r="B979" s="8" t="s">
        <v>87</v>
      </c>
      <c r="C979" s="8">
        <v>60000.0</v>
      </c>
      <c r="D979" s="8" t="s">
        <v>69</v>
      </c>
      <c r="F979" s="8" t="s">
        <v>72</v>
      </c>
      <c r="G979" s="8">
        <v>3750.0</v>
      </c>
      <c r="H979" s="8" t="s">
        <v>45</v>
      </c>
      <c r="K979" s="8" t="s">
        <v>46</v>
      </c>
      <c r="L979" s="8" t="s">
        <v>37</v>
      </c>
      <c r="P979" s="9">
        <v>44122.0</v>
      </c>
      <c r="Q979" s="10">
        <v>0.055555555554747116</v>
      </c>
      <c r="R979" s="11" t="str">
        <f t="shared" si="1"/>
        <v>Пайка компонентов PRI</v>
      </c>
      <c r="S979" s="12" t="str">
        <f>iferror(VLOOKUP(C979,'ФИО'!A:B,2,0),"учётный код не найден")</f>
        <v>THT</v>
      </c>
      <c r="T979" s="13" t="str">
        <f t="shared" si="2"/>
        <v>ПУ 910-00349.A "Печатный узел основного блока E96 4LIN"</v>
      </c>
      <c r="U979" s="8">
        <v>276.0</v>
      </c>
      <c r="V979" s="8">
        <v>0.0</v>
      </c>
      <c r="W979" s="17" t="str">
        <f t="shared" si="109"/>
        <v>Данные не заполены</v>
      </c>
      <c r="X979" s="14" t="str">
        <f t="shared" si="105"/>
        <v>Данные не заполены</v>
      </c>
      <c r="Y979" s="15">
        <f t="shared" si="108"/>
        <v>0</v>
      </c>
    </row>
    <row r="980" hidden="1">
      <c r="A980" s="7">
        <v>44122.8259325463</v>
      </c>
      <c r="B980" s="8" t="s">
        <v>87</v>
      </c>
      <c r="C980" s="8">
        <v>60000.0</v>
      </c>
      <c r="D980" s="8" t="s">
        <v>69</v>
      </c>
      <c r="F980" s="8" t="s">
        <v>72</v>
      </c>
      <c r="G980" s="8">
        <v>3047.0</v>
      </c>
      <c r="H980" s="8" t="s">
        <v>29</v>
      </c>
      <c r="I980" s="8" t="s">
        <v>77</v>
      </c>
      <c r="L980" s="8" t="s">
        <v>37</v>
      </c>
      <c r="P980" s="9">
        <v>44122.0</v>
      </c>
      <c r="Q980" s="10">
        <v>0.0625</v>
      </c>
      <c r="R980" s="11" t="str">
        <f t="shared" si="1"/>
        <v>Пайка компонентов PRI</v>
      </c>
      <c r="S980" s="12" t="str">
        <f>iferror(VLOOKUP(C980,'ФИО'!A:B,2,0),"учётный код не найден")</f>
        <v>THT</v>
      </c>
      <c r="T980" s="13" t="str">
        <f t="shared" si="2"/>
        <v>915-00081.A-Модуль Трик8 (Кибертех)</v>
      </c>
      <c r="U980" s="8">
        <v>46.0</v>
      </c>
      <c r="V980" s="8">
        <v>0.0</v>
      </c>
      <c r="W980" s="17" t="str">
        <f t="shared" si="109"/>
        <v>Данные не заполены</v>
      </c>
      <c r="X980" s="14" t="str">
        <f t="shared" si="105"/>
        <v>Данные не заполены</v>
      </c>
      <c r="Y980" s="15">
        <f t="shared" si="108"/>
        <v>0</v>
      </c>
    </row>
    <row r="981" hidden="1">
      <c r="A981" s="7">
        <v>44111.29479082176</v>
      </c>
      <c r="B981" s="8" t="s">
        <v>94</v>
      </c>
      <c r="C981" s="8">
        <v>20985.0</v>
      </c>
      <c r="D981" s="8" t="s">
        <v>27</v>
      </c>
      <c r="E981" s="8" t="s">
        <v>66</v>
      </c>
      <c r="G981" s="8">
        <v>3580.0</v>
      </c>
      <c r="H981" s="8" t="s">
        <v>29</v>
      </c>
      <c r="I981" s="8" t="s">
        <v>145</v>
      </c>
      <c r="L981" s="8" t="s">
        <v>31</v>
      </c>
      <c r="M981" s="8" t="s">
        <v>34</v>
      </c>
      <c r="N981" s="8"/>
      <c r="O981" s="8"/>
      <c r="P981" s="9">
        <v>44110.0</v>
      </c>
      <c r="Q981" s="10">
        <v>0.027777777781011537</v>
      </c>
      <c r="R981" s="11" t="str">
        <f t="shared" si="1"/>
        <v>Проверка первой платы до оплавления</v>
      </c>
      <c r="S981" s="16" t="str">
        <f>iferror(VLOOKUP(C981,'ФИО'!A:B,2,0),"учётный код не найден")</f>
        <v>Никонорова Наталия Владимировна</v>
      </c>
      <c r="T981" s="13" t="str">
        <f t="shared" si="2"/>
        <v>XR (OÜ KLARBERG)</v>
      </c>
      <c r="U981" s="8">
        <v>0.0</v>
      </c>
      <c r="V981" s="8">
        <v>0.0</v>
      </c>
      <c r="W981" s="21" t="str">
        <f t="shared" si="109"/>
        <v>Данные не заполены</v>
      </c>
      <c r="X981" s="15" t="str">
        <f t="shared" si="105"/>
        <v>Данные не заполены</v>
      </c>
      <c r="Y981" s="15">
        <f t="shared" si="108"/>
        <v>0</v>
      </c>
    </row>
    <row r="982" hidden="1">
      <c r="A982" s="7">
        <v>44119.29911835648</v>
      </c>
      <c r="B982" s="8" t="s">
        <v>94</v>
      </c>
      <c r="C982" s="8">
        <v>22575.0</v>
      </c>
      <c r="D982" s="8" t="s">
        <v>27</v>
      </c>
      <c r="E982" s="8" t="s">
        <v>68</v>
      </c>
      <c r="L982" s="8" t="s">
        <v>31</v>
      </c>
      <c r="M982" s="8" t="s">
        <v>34</v>
      </c>
      <c r="P982" s="9">
        <v>44118.0</v>
      </c>
      <c r="Q982" s="10">
        <v>0.16666666666424135</v>
      </c>
      <c r="R982" s="11" t="str">
        <f t="shared" si="1"/>
        <v>Прохождение обучения</v>
      </c>
      <c r="S982" s="16" t="str">
        <f>iferror(VLOOKUP(C982,'ФИО'!A:B,2,0),"учётный код не найден")</f>
        <v>Куликов Виктор Алексеевич</v>
      </c>
      <c r="T982" s="13" t="str">
        <f t="shared" si="2"/>
        <v/>
      </c>
      <c r="W982" s="17" t="str">
        <f t="shared" si="109"/>
        <v>Данные не заполены</v>
      </c>
      <c r="X982" s="14" t="str">
        <f t="shared" si="105"/>
        <v>Данные не заполены</v>
      </c>
      <c r="Y982" s="15">
        <f t="shared" si="108"/>
        <v>0</v>
      </c>
    </row>
    <row r="983" hidden="1">
      <c r="A983" s="7">
        <v>44120.82646725695</v>
      </c>
      <c r="B983" s="8" t="s">
        <v>26</v>
      </c>
      <c r="C983" s="8">
        <v>21475.0</v>
      </c>
      <c r="D983" s="8" t="s">
        <v>27</v>
      </c>
      <c r="E983" s="8" t="s">
        <v>67</v>
      </c>
      <c r="G983" s="8">
        <v>3649.0</v>
      </c>
      <c r="H983" s="8" t="s">
        <v>29</v>
      </c>
      <c r="I983" s="8" t="s">
        <v>33</v>
      </c>
      <c r="L983" s="8" t="s">
        <v>37</v>
      </c>
      <c r="P983" s="9">
        <v>44120.0</v>
      </c>
      <c r="Q983" s="10">
        <v>0.055555555554747116</v>
      </c>
      <c r="R983" s="11" t="str">
        <f t="shared" si="1"/>
        <v>Сборка на линии Prim</v>
      </c>
      <c r="S983" s="16" t="str">
        <f>iferror(VLOOKUP(C983,'ФИО'!A:B,2,0),"учётный код не найден")</f>
        <v>Байрамашвили Альберт Зурабович</v>
      </c>
      <c r="T983" s="13" t="str">
        <f t="shared" si="2"/>
        <v>ssfp2.2 (Метротек)</v>
      </c>
      <c r="U983" s="8">
        <v>0.0</v>
      </c>
      <c r="V983" s="8">
        <v>0.0</v>
      </c>
      <c r="W983" s="17" t="str">
        <f t="shared" si="109"/>
        <v>Данные не заполены</v>
      </c>
      <c r="X983" s="14" t="str">
        <f t="shared" si="105"/>
        <v>Данные не заполены</v>
      </c>
      <c r="Y983" s="15">
        <f t="shared" si="108"/>
        <v>0</v>
      </c>
    </row>
    <row r="984" hidden="1">
      <c r="A984" s="7">
        <v>44108.33266439815</v>
      </c>
      <c r="B984" s="8" t="s">
        <v>38</v>
      </c>
      <c r="C984" s="8">
        <v>21803.0</v>
      </c>
      <c r="D984" s="8" t="s">
        <v>27</v>
      </c>
      <c r="E984" s="8" t="s">
        <v>67</v>
      </c>
      <c r="G984" s="8">
        <v>3706.0</v>
      </c>
      <c r="H984" s="8" t="s">
        <v>45</v>
      </c>
      <c r="K984" s="8" t="s">
        <v>91</v>
      </c>
      <c r="L984" s="8" t="s">
        <v>37</v>
      </c>
      <c r="P984" s="9">
        <v>44107.0</v>
      </c>
      <c r="Q984" s="10">
        <v>0.08333333333575865</v>
      </c>
      <c r="R984" s="11" t="str">
        <f t="shared" si="1"/>
        <v>Сборка на линии Prim</v>
      </c>
      <c r="S984" s="16" t="str">
        <f>iferror(VLOOKUP(C984,'ФИО'!A:B,2,0),"учётный код не найден")</f>
        <v>Белоглазова Виктория Сергеевна</v>
      </c>
      <c r="T984" s="13" t="str">
        <f t="shared" si="2"/>
        <v>ПУ Сигма 10/15 910-00080.D</v>
      </c>
      <c r="U984" s="8">
        <v>0.0</v>
      </c>
      <c r="V984" s="8">
        <v>0.0</v>
      </c>
      <c r="W984" s="21" t="str">
        <f t="shared" si="109"/>
        <v>Данные не заполены</v>
      </c>
      <c r="X984" s="15" t="str">
        <f t="shared" si="105"/>
        <v>Данные не заполены</v>
      </c>
      <c r="Y984" s="15">
        <f t="shared" si="108"/>
        <v>0</v>
      </c>
    </row>
    <row r="985" hidden="1">
      <c r="A985" s="7">
        <v>44109.315381747685</v>
      </c>
      <c r="B985" s="8" t="s">
        <v>38</v>
      </c>
      <c r="C985" s="8">
        <v>21803.0</v>
      </c>
      <c r="D985" s="8" t="s">
        <v>27</v>
      </c>
      <c r="E985" s="8" t="s">
        <v>67</v>
      </c>
      <c r="G985" s="8">
        <v>3233.0</v>
      </c>
      <c r="H985" s="8" t="s">
        <v>29</v>
      </c>
      <c r="I985" s="8" t="s">
        <v>60</v>
      </c>
      <c r="L985" s="8" t="s">
        <v>37</v>
      </c>
      <c r="P985" s="9">
        <v>44108.0</v>
      </c>
      <c r="Q985" s="10">
        <v>0.020833333335758653</v>
      </c>
      <c r="R985" s="11" t="str">
        <f t="shared" si="1"/>
        <v>Сборка на линии Prim</v>
      </c>
      <c r="S985" s="16" t="str">
        <f>iferror(VLOOKUP(C985,'ФИО'!A:B,2,0),"учётный код не найден")</f>
        <v>Белоглазова Виктория Сергеевна</v>
      </c>
      <c r="T985" s="13" t="str">
        <f t="shared" si="2"/>
        <v>915-00102.A - ПБОК-2В АСЛБ.465285.013 (Квант)</v>
      </c>
      <c r="U985" s="8">
        <v>0.0</v>
      </c>
      <c r="V985" s="8">
        <v>0.0</v>
      </c>
      <c r="W985" s="21" t="str">
        <f t="shared" si="109"/>
        <v>Данные не заполены</v>
      </c>
      <c r="X985" s="15" t="str">
        <f t="shared" si="105"/>
        <v>Данные не заполены</v>
      </c>
      <c r="Y985" s="15">
        <f t="shared" si="108"/>
        <v>0</v>
      </c>
    </row>
    <row r="986" hidden="1">
      <c r="A986" s="7">
        <v>44109.31869591435</v>
      </c>
      <c r="B986" s="8" t="s">
        <v>38</v>
      </c>
      <c r="C986" s="8">
        <v>21803.0</v>
      </c>
      <c r="D986" s="8" t="s">
        <v>27</v>
      </c>
      <c r="E986" s="8" t="s">
        <v>67</v>
      </c>
      <c r="G986" s="8">
        <v>3726.0</v>
      </c>
      <c r="H986" s="8" t="s">
        <v>45</v>
      </c>
      <c r="K986" s="8" t="s">
        <v>58</v>
      </c>
      <c r="L986" s="8" t="s">
        <v>37</v>
      </c>
      <c r="P986" s="9">
        <v>44108.0</v>
      </c>
      <c r="Q986" s="10">
        <v>0.08333333333575865</v>
      </c>
      <c r="R986" s="11" t="str">
        <f t="shared" si="1"/>
        <v>Сборка на линии Prim</v>
      </c>
      <c r="S986" s="16" t="str">
        <f>iferror(VLOOKUP(C986,'ФИО'!A:B,2,0),"учётный код не найден")</f>
        <v>Белоглазова Виктория Сергеевна</v>
      </c>
      <c r="T986" s="13" t="str">
        <f t="shared" si="2"/>
        <v>ПУ метки i95</v>
      </c>
      <c r="U986" s="8">
        <v>0.0</v>
      </c>
      <c r="V986" s="8">
        <v>0.0</v>
      </c>
      <c r="W986" s="21" t="str">
        <f t="shared" si="109"/>
        <v>Данные не заполены</v>
      </c>
      <c r="X986" s="15" t="str">
        <f t="shared" si="105"/>
        <v>Данные не заполены</v>
      </c>
      <c r="Y986" s="15">
        <f t="shared" si="108"/>
        <v>0</v>
      </c>
    </row>
    <row r="987" hidden="1">
      <c r="A987" s="7">
        <v>44112.822382638886</v>
      </c>
      <c r="B987" s="8" t="s">
        <v>26</v>
      </c>
      <c r="C987" s="8">
        <v>21803.0</v>
      </c>
      <c r="D987" s="8" t="s">
        <v>27</v>
      </c>
      <c r="E987" s="8" t="s">
        <v>67</v>
      </c>
      <c r="G987" s="8">
        <v>3238.0</v>
      </c>
      <c r="H987" s="8" t="s">
        <v>29</v>
      </c>
      <c r="I987" s="8" t="s">
        <v>43</v>
      </c>
      <c r="L987" s="8" t="s">
        <v>37</v>
      </c>
      <c r="P987" s="9">
        <v>44112.0</v>
      </c>
      <c r="Q987" s="10">
        <v>0.04166666666424135</v>
      </c>
      <c r="R987" s="11" t="str">
        <f t="shared" si="1"/>
        <v>Сборка на линии Prim</v>
      </c>
      <c r="S987" s="16" t="str">
        <f>iferror(VLOOKUP(C987,'ФИО'!A:B,2,0),"учётный код не найден")</f>
        <v>Белоглазова Виктория Сергеевна</v>
      </c>
      <c r="T987" s="13" t="str">
        <f t="shared" si="2"/>
        <v>915-00097.A - ПКД-8В-3 АСЛБ.467249.110 (Квант)</v>
      </c>
      <c r="U987" s="8">
        <v>0.0</v>
      </c>
      <c r="V987" s="8">
        <v>0.0</v>
      </c>
      <c r="W987" s="21" t="str">
        <f t="shared" si="109"/>
        <v>Данные не заполены</v>
      </c>
      <c r="X987" s="15" t="str">
        <f t="shared" si="105"/>
        <v>Данные не заполены</v>
      </c>
      <c r="Y987" s="15">
        <f t="shared" si="108"/>
        <v>0</v>
      </c>
    </row>
    <row r="988" hidden="1">
      <c r="A988" s="7">
        <v>44113.81512020833</v>
      </c>
      <c r="B988" s="8" t="s">
        <v>26</v>
      </c>
      <c r="C988" s="8">
        <v>21803.0</v>
      </c>
      <c r="D988" s="8" t="s">
        <v>27</v>
      </c>
      <c r="E988" s="8" t="s">
        <v>67</v>
      </c>
      <c r="G988" s="8">
        <v>3750.0</v>
      </c>
      <c r="H988" s="8" t="s">
        <v>45</v>
      </c>
      <c r="K988" s="8" t="s">
        <v>46</v>
      </c>
      <c r="L988" s="8" t="s">
        <v>37</v>
      </c>
      <c r="P988" s="9">
        <v>44113.0</v>
      </c>
      <c r="Q988" s="10">
        <v>0.08333333333575865</v>
      </c>
      <c r="R988" s="11" t="str">
        <f t="shared" si="1"/>
        <v>Сборка на линии Prim</v>
      </c>
      <c r="S988" s="16" t="str">
        <f>iferror(VLOOKUP(C988,'ФИО'!A:B,2,0),"учётный код не найден")</f>
        <v>Белоглазова Виктория Сергеевна</v>
      </c>
      <c r="T988" s="13" t="str">
        <f t="shared" si="2"/>
        <v>ПУ 910-00349.A "Печатный узел основного блока E96 4LIN"</v>
      </c>
      <c r="U988" s="8">
        <v>0.0</v>
      </c>
      <c r="V988" s="8">
        <v>0.0</v>
      </c>
      <c r="W988" s="21" t="str">
        <f t="shared" si="109"/>
        <v>Данные не заполены</v>
      </c>
      <c r="X988" s="15" t="str">
        <f t="shared" si="105"/>
        <v>Данные не заполены</v>
      </c>
      <c r="Y988" s="15">
        <f t="shared" si="108"/>
        <v>0</v>
      </c>
    </row>
    <row r="989" hidden="1">
      <c r="A989" s="7">
        <v>44116.32372076389</v>
      </c>
      <c r="B989" s="8" t="s">
        <v>38</v>
      </c>
      <c r="C989" s="8">
        <v>21803.0</v>
      </c>
      <c r="D989" s="8" t="s">
        <v>27</v>
      </c>
      <c r="E989" s="8" t="s">
        <v>67</v>
      </c>
      <c r="G989" s="8">
        <v>3750.0</v>
      </c>
      <c r="H989" s="8" t="s">
        <v>9</v>
      </c>
      <c r="J989" s="8" t="s">
        <v>46</v>
      </c>
      <c r="L989" s="8" t="s">
        <v>37</v>
      </c>
      <c r="P989" s="9">
        <v>44115.0</v>
      </c>
      <c r="Q989" s="10">
        <v>0.006944444445252884</v>
      </c>
      <c r="R989" s="11" t="str">
        <f t="shared" si="1"/>
        <v>Сборка на линии Prim</v>
      </c>
      <c r="S989" s="16" t="str">
        <f>iferror(VLOOKUP(C989,'ФИО'!A:B,2,0),"учётный код не найден")</f>
        <v>Белоглазова Виктория Сергеевна</v>
      </c>
      <c r="T989" s="13" t="str">
        <f t="shared" si="2"/>
        <v>ПУ 910-00349.A "Печатный узел основного блока E96 4LIN"</v>
      </c>
      <c r="U989" s="8">
        <v>0.0</v>
      </c>
      <c r="V989" s="8">
        <v>0.0</v>
      </c>
      <c r="W989" s="21" t="str">
        <f t="shared" si="109"/>
        <v>Данные не заполены</v>
      </c>
      <c r="X989" s="15" t="str">
        <f t="shared" si="105"/>
        <v>Данные не заполены</v>
      </c>
      <c r="Y989" s="15">
        <f t="shared" si="108"/>
        <v>0</v>
      </c>
    </row>
    <row r="990" hidden="1">
      <c r="A990" s="7">
        <v>44125.32672</v>
      </c>
      <c r="B990" s="8" t="s">
        <v>38</v>
      </c>
      <c r="C990" s="8">
        <v>21752.0</v>
      </c>
      <c r="D990" s="8" t="s">
        <v>27</v>
      </c>
      <c r="E990" s="8" t="s">
        <v>68</v>
      </c>
      <c r="L990" s="8" t="s">
        <v>31</v>
      </c>
      <c r="M990" s="8" t="s">
        <v>34</v>
      </c>
      <c r="P990" s="9">
        <v>44124.0</v>
      </c>
      <c r="Q990" s="10">
        <v>0.020833333335758653</v>
      </c>
      <c r="R990" s="11" t="str">
        <f t="shared" si="1"/>
        <v>Прохождение обучения</v>
      </c>
      <c r="S990" s="16" t="str">
        <f>iferror(VLOOKUP(C990,'ФИО'!A:B,2,0),"учётный код не найден")</f>
        <v>Егоров Александр Александрович</v>
      </c>
      <c r="T990" s="13" t="str">
        <f t="shared" si="2"/>
        <v/>
      </c>
      <c r="X990" s="14" t="str">
        <f t="shared" si="105"/>
        <v>Данные не заполены</v>
      </c>
      <c r="Y990" s="15">
        <f t="shared" si="108"/>
        <v>0</v>
      </c>
    </row>
    <row r="991" hidden="1">
      <c r="A991" s="7">
        <v>44132.332013148145</v>
      </c>
      <c r="B991" s="8" t="s">
        <v>38</v>
      </c>
      <c r="C991" s="8">
        <v>21752.0</v>
      </c>
      <c r="D991" s="8" t="s">
        <v>27</v>
      </c>
      <c r="E991" s="8" t="s">
        <v>68</v>
      </c>
      <c r="L991" s="8" t="s">
        <v>31</v>
      </c>
      <c r="M991" s="8" t="s">
        <v>34</v>
      </c>
      <c r="P991" s="9">
        <v>44131.0</v>
      </c>
      <c r="Q991" s="10">
        <v>0.03125</v>
      </c>
      <c r="R991" s="11" t="str">
        <f t="shared" si="1"/>
        <v>Прохождение обучения</v>
      </c>
      <c r="S991" s="12" t="str">
        <f>iferror(VLOOKUP(C991,'ФИО'!A:B,2,0),"учётный код не найден")</f>
        <v>Егоров Александр Александрович</v>
      </c>
      <c r="T991" s="13" t="str">
        <f t="shared" si="2"/>
        <v/>
      </c>
      <c r="X991" s="14" t="str">
        <f t="shared" si="105"/>
        <v>Данные не заполены</v>
      </c>
      <c r="Y991" s="15">
        <f t="shared" si="108"/>
        <v>0</v>
      </c>
    </row>
    <row r="992" hidden="1">
      <c r="A992" s="7">
        <v>44108.31855427084</v>
      </c>
      <c r="B992" s="8" t="s">
        <v>38</v>
      </c>
      <c r="C992" s="8">
        <v>21752.0</v>
      </c>
      <c r="D992" s="8" t="s">
        <v>27</v>
      </c>
      <c r="E992" s="8" t="s">
        <v>67</v>
      </c>
      <c r="G992" s="8">
        <v>3706.0</v>
      </c>
      <c r="H992" s="8" t="s">
        <v>45</v>
      </c>
      <c r="K992" s="8" t="s">
        <v>91</v>
      </c>
      <c r="L992" s="8" t="s">
        <v>37</v>
      </c>
      <c r="P992" s="9">
        <v>44107.0</v>
      </c>
      <c r="Q992" s="10">
        <v>0.020833333335758653</v>
      </c>
      <c r="R992" s="11" t="str">
        <f t="shared" si="1"/>
        <v>Сборка на линии Prim</v>
      </c>
      <c r="S992" s="16" t="str">
        <f>iferror(VLOOKUP(C992,'ФИО'!A:B,2,0),"учётный код не найден")</f>
        <v>Егоров Александр Александрович</v>
      </c>
      <c r="T992" s="13" t="str">
        <f t="shared" si="2"/>
        <v>ПУ Сигма 10/15 910-00080.D</v>
      </c>
      <c r="U992" s="8">
        <v>0.0</v>
      </c>
      <c r="V992" s="8">
        <v>0.0</v>
      </c>
      <c r="W992" s="21" t="str">
        <f t="shared" ref="W992:W997" si="110">IFERROR((((38412/(ifs(O992&lt;35,35,O992&gt;34,O992)/N992)*0.7))),"Данные не заполены")</f>
        <v>Данные не заполены</v>
      </c>
      <c r="X992" s="15" t="str">
        <f t="shared" si="105"/>
        <v>Данные не заполены</v>
      </c>
      <c r="Y992" s="15">
        <f t="shared" si="108"/>
        <v>0</v>
      </c>
    </row>
    <row r="993" hidden="1">
      <c r="A993" s="7">
        <v>44117.81867628472</v>
      </c>
      <c r="B993" s="8" t="s">
        <v>127</v>
      </c>
      <c r="C993" s="8">
        <v>22574.0</v>
      </c>
      <c r="D993" s="8" t="s">
        <v>27</v>
      </c>
      <c r="E993" s="8" t="s">
        <v>109</v>
      </c>
      <c r="G993" s="8">
        <v>3622.0</v>
      </c>
      <c r="H993" s="8" t="s">
        <v>29</v>
      </c>
      <c r="I993" s="8" t="s">
        <v>90</v>
      </c>
      <c r="L993" s="8" t="s">
        <v>31</v>
      </c>
      <c r="M993" s="8" t="s">
        <v>34</v>
      </c>
      <c r="P993" s="9">
        <v>44117.0</v>
      </c>
      <c r="Q993" s="10">
        <v>0.04166666666424135</v>
      </c>
      <c r="R993" s="11" t="str">
        <f t="shared" si="1"/>
        <v>Установка компонентов вручную</v>
      </c>
      <c r="S993" s="16" t="str">
        <f>iferror(VLOOKUP(C993,'ФИО'!A:B,2,0),"учётный код не найден")</f>
        <v>Шапенков Геннадий Михайлович</v>
      </c>
      <c r="T993" s="11" t="str">
        <f t="shared" si="2"/>
        <v>915-00124.A - Tioga Pass_v1.1 (Гагар.ин)</v>
      </c>
      <c r="U993" s="8">
        <v>0.0</v>
      </c>
      <c r="V993" s="8">
        <v>0.0</v>
      </c>
      <c r="W993" s="17" t="str">
        <f t="shared" si="110"/>
        <v>Данные не заполены</v>
      </c>
      <c r="X993" s="14" t="str">
        <f t="shared" si="105"/>
        <v>Данные не заполены</v>
      </c>
      <c r="Y993" s="15">
        <f t="shared" si="108"/>
        <v>0</v>
      </c>
    </row>
    <row r="994" hidden="1">
      <c r="A994" s="7">
        <v>44112.80348375</v>
      </c>
      <c r="B994" s="8" t="s">
        <v>26</v>
      </c>
      <c r="C994" s="8">
        <v>20751.0</v>
      </c>
      <c r="D994" s="8" t="s">
        <v>27</v>
      </c>
      <c r="E994" s="8" t="s">
        <v>160</v>
      </c>
      <c r="G994" s="8">
        <v>3750.0</v>
      </c>
      <c r="H994" s="8" t="s">
        <v>9</v>
      </c>
      <c r="J994" s="8" t="s">
        <v>46</v>
      </c>
      <c r="L994" s="8" t="s">
        <v>31</v>
      </c>
      <c r="M994" s="8" t="s">
        <v>34</v>
      </c>
      <c r="N994" s="8"/>
      <c r="O994" s="8"/>
      <c r="P994" s="9">
        <v>44112.0</v>
      </c>
      <c r="Q994" s="10">
        <v>0.0625</v>
      </c>
      <c r="R994" s="11" t="str">
        <f t="shared" si="1"/>
        <v>Проверка программы установщиков</v>
      </c>
      <c r="S994" s="16" t="str">
        <f>iferror(VLOOKUP(C994,'ФИО'!A:B,2,0),"учётный код не найден")</f>
        <v>Кезерев Виталий Романович</v>
      </c>
      <c r="T994" s="13" t="str">
        <f t="shared" si="2"/>
        <v>ПУ 910-00349.A "Печатный узел основного блока E96 4LIN"</v>
      </c>
      <c r="U994" s="8">
        <v>0.0</v>
      </c>
      <c r="V994" s="8">
        <v>0.0</v>
      </c>
      <c r="W994" s="21" t="str">
        <f t="shared" si="110"/>
        <v>Данные не заполены</v>
      </c>
      <c r="X994" s="15" t="str">
        <f t="shared" si="105"/>
        <v>Данные не заполены</v>
      </c>
      <c r="Y994" s="15">
        <f t="shared" si="108"/>
        <v>0</v>
      </c>
    </row>
    <row r="995" hidden="1">
      <c r="A995" s="7">
        <v>44113.824548344906</v>
      </c>
      <c r="B995" s="8" t="s">
        <v>26</v>
      </c>
      <c r="C995" s="8">
        <v>20751.0</v>
      </c>
      <c r="D995" s="8" t="s">
        <v>27</v>
      </c>
      <c r="E995" s="8" t="s">
        <v>160</v>
      </c>
      <c r="G995" s="8">
        <v>3419.0</v>
      </c>
      <c r="H995" s="8" t="s">
        <v>29</v>
      </c>
      <c r="I995" s="8" t="s">
        <v>243</v>
      </c>
      <c r="L995" s="8" t="s">
        <v>31</v>
      </c>
      <c r="M995" s="8" t="s">
        <v>34</v>
      </c>
      <c r="N995" s="8"/>
      <c r="O995" s="8"/>
      <c r="P995" s="9">
        <v>44113.0</v>
      </c>
      <c r="Q995" s="10">
        <v>0.04166666666424135</v>
      </c>
      <c r="R995" s="11" t="str">
        <f t="shared" si="1"/>
        <v>Проверка программы установщиков</v>
      </c>
      <c r="S995" s="16" t="str">
        <f>iferror(VLOOKUP(C995,'ФИО'!A:B,2,0),"учётный код не найден")</f>
        <v>Кезерев Виталий Романович</v>
      </c>
      <c r="T995" s="13" t="str">
        <f t="shared" si="2"/>
        <v>915-00111.A - ПБУИК-37В-01 АСЛБ.465122.013-01 (Квант)</v>
      </c>
      <c r="U995" s="8">
        <v>0.0</v>
      </c>
      <c r="V995" s="8">
        <v>0.0</v>
      </c>
      <c r="W995" s="21" t="str">
        <f t="shared" si="110"/>
        <v>Данные не заполены</v>
      </c>
      <c r="X995" s="15" t="str">
        <f t="shared" si="105"/>
        <v>Данные не заполены</v>
      </c>
      <c r="Y995" s="15">
        <f t="shared" si="108"/>
        <v>0</v>
      </c>
    </row>
    <row r="996" hidden="1">
      <c r="A996" s="7">
        <v>44113.82684814815</v>
      </c>
      <c r="B996" s="8" t="s">
        <v>26</v>
      </c>
      <c r="C996" s="8">
        <v>20751.0</v>
      </c>
      <c r="D996" s="8" t="s">
        <v>27</v>
      </c>
      <c r="E996" s="8" t="s">
        <v>160</v>
      </c>
      <c r="G996" s="8">
        <v>3762.0</v>
      </c>
      <c r="H996" s="8" t="s">
        <v>45</v>
      </c>
      <c r="K996" s="8" t="s">
        <v>119</v>
      </c>
      <c r="L996" s="8" t="s">
        <v>31</v>
      </c>
      <c r="M996" s="8" t="s">
        <v>34</v>
      </c>
      <c r="N996" s="8"/>
      <c r="O996" s="8"/>
      <c r="P996" s="9">
        <v>44113.0</v>
      </c>
      <c r="Q996" s="10">
        <v>0.01736111110949423</v>
      </c>
      <c r="R996" s="11" t="str">
        <f t="shared" si="1"/>
        <v>Проверка программы установщиков</v>
      </c>
      <c r="S996" s="16" t="str">
        <f>iferror(VLOOKUP(C996,'ФИО'!A:B,2,0),"учётный код не найден")</f>
        <v>Кезерев Виталий Романович</v>
      </c>
      <c r="T996" s="13" t="str">
        <f t="shared" si="2"/>
        <v>ПУ 910-00134.B (A96 модуль 2CAN+2LIN)</v>
      </c>
      <c r="U996" s="8">
        <v>0.0</v>
      </c>
      <c r="V996" s="8">
        <v>0.0</v>
      </c>
      <c r="W996" s="21" t="str">
        <f t="shared" si="110"/>
        <v>Данные не заполены</v>
      </c>
      <c r="X996" s="15" t="str">
        <f t="shared" si="105"/>
        <v>Данные не заполены</v>
      </c>
      <c r="Y996" s="15">
        <f t="shared" si="108"/>
        <v>0</v>
      </c>
    </row>
    <row r="997" hidden="1">
      <c r="A997" s="7">
        <v>44117.32837120371</v>
      </c>
      <c r="B997" s="8" t="s">
        <v>38</v>
      </c>
      <c r="C997" s="8">
        <v>20751.0</v>
      </c>
      <c r="D997" s="8" t="s">
        <v>27</v>
      </c>
      <c r="E997" s="8" t="s">
        <v>160</v>
      </c>
      <c r="G997" s="8">
        <v>3622.0</v>
      </c>
      <c r="H997" s="8" t="s">
        <v>29</v>
      </c>
      <c r="I997" s="8" t="s">
        <v>90</v>
      </c>
      <c r="L997" s="8" t="s">
        <v>31</v>
      </c>
      <c r="M997" s="8" t="s">
        <v>34</v>
      </c>
      <c r="N997" s="8"/>
      <c r="O997" s="8"/>
      <c r="P997" s="9">
        <v>44116.0</v>
      </c>
      <c r="Q997" s="10">
        <v>0.40277777778101154</v>
      </c>
      <c r="R997" s="11" t="str">
        <f t="shared" si="1"/>
        <v>Проверка программы установщиков</v>
      </c>
      <c r="S997" s="16" t="str">
        <f>iferror(VLOOKUP(C997,'ФИО'!A:B,2,0),"учётный код не найден")</f>
        <v>Кезерев Виталий Романович</v>
      </c>
      <c r="T997" s="13" t="str">
        <f t="shared" si="2"/>
        <v>915-00124.A - Tioga Pass_v1.1 (Гагар.ин)</v>
      </c>
      <c r="U997" s="8">
        <v>0.0</v>
      </c>
      <c r="V997" s="8">
        <v>0.0</v>
      </c>
      <c r="W997" s="21" t="str">
        <f t="shared" si="110"/>
        <v>Данные не заполены</v>
      </c>
      <c r="X997" s="15" t="str">
        <f t="shared" si="105"/>
        <v>Данные не заполены</v>
      </c>
      <c r="Y997" s="15">
        <f t="shared" si="108"/>
        <v>0</v>
      </c>
    </row>
    <row r="998" hidden="1">
      <c r="A998" s="7">
        <v>44128.80726465277</v>
      </c>
      <c r="B998" s="8" t="s">
        <v>26</v>
      </c>
      <c r="C998" s="8">
        <v>20751.0</v>
      </c>
      <c r="D998" s="8" t="s">
        <v>27</v>
      </c>
      <c r="E998" s="8" t="s">
        <v>160</v>
      </c>
      <c r="G998" s="8">
        <v>3621.0</v>
      </c>
      <c r="H998" s="8" t="s">
        <v>29</v>
      </c>
      <c r="I998" s="8" t="s">
        <v>54</v>
      </c>
      <c r="L998" s="8" t="s">
        <v>31</v>
      </c>
      <c r="M998" s="8" t="s">
        <v>34</v>
      </c>
      <c r="P998" s="9">
        <v>44128.0</v>
      </c>
      <c r="Q998" s="10">
        <v>0.20833333333575865</v>
      </c>
      <c r="R998" s="11" t="str">
        <f t="shared" si="1"/>
        <v>Проверка программы установщиков</v>
      </c>
      <c r="S998" s="16" t="str">
        <f>iferror(VLOOKUP(C998,'ФИО'!A:B,2,0),"учётный код не найден")</f>
        <v>Кезерев Виталий Романович</v>
      </c>
      <c r="T998" s="13" t="str">
        <f t="shared" si="2"/>
        <v>915-00121.A - Процессорный модуль РСЕН.469555.027 (КНС Групп)</v>
      </c>
      <c r="U998" s="8">
        <v>0.0</v>
      </c>
      <c r="V998" s="8">
        <v>0.0</v>
      </c>
      <c r="X998" s="14" t="str">
        <f t="shared" si="105"/>
        <v>Данные не заполены</v>
      </c>
      <c r="Y998" s="15">
        <f t="shared" si="108"/>
        <v>0</v>
      </c>
    </row>
    <row r="999" hidden="1">
      <c r="A999" s="7">
        <v>44129.821865000005</v>
      </c>
      <c r="B999" s="8" t="s">
        <v>26</v>
      </c>
      <c r="C999" s="8">
        <v>20751.0</v>
      </c>
      <c r="D999" s="8" t="s">
        <v>27</v>
      </c>
      <c r="E999" s="8" t="s">
        <v>160</v>
      </c>
      <c r="G999" s="8">
        <v>3621.0</v>
      </c>
      <c r="H999" s="8" t="s">
        <v>29</v>
      </c>
      <c r="I999" s="8" t="s">
        <v>54</v>
      </c>
      <c r="L999" s="8" t="s">
        <v>31</v>
      </c>
      <c r="M999" s="8" t="s">
        <v>34</v>
      </c>
      <c r="P999" s="9">
        <v>44129.0</v>
      </c>
      <c r="Q999" s="10">
        <v>0.26388888889050577</v>
      </c>
      <c r="R999" s="11" t="str">
        <f t="shared" si="1"/>
        <v>Проверка программы установщиков</v>
      </c>
      <c r="S999" s="12" t="str">
        <f>iferror(VLOOKUP(C999,'ФИО'!A:B,2,0),"учётный код не найден")</f>
        <v>Кезерев Виталий Романович</v>
      </c>
      <c r="T999" s="13" t="str">
        <f t="shared" si="2"/>
        <v>915-00121.A - Процессорный модуль РСЕН.469555.027 (КНС Групп)</v>
      </c>
      <c r="U999" s="8">
        <v>0.0</v>
      </c>
      <c r="V999" s="8">
        <v>0.0</v>
      </c>
      <c r="X999" s="14" t="str">
        <f t="shared" si="105"/>
        <v>Данные не заполены</v>
      </c>
      <c r="Y999" s="15">
        <f t="shared" si="108"/>
        <v>0</v>
      </c>
    </row>
    <row r="1000" hidden="1">
      <c r="A1000" s="7">
        <v>44120.82889949074</v>
      </c>
      <c r="B1000" s="8" t="s">
        <v>26</v>
      </c>
      <c r="C1000" s="8">
        <v>20751.0</v>
      </c>
      <c r="D1000" s="8" t="s">
        <v>27</v>
      </c>
      <c r="E1000" s="8" t="s">
        <v>68</v>
      </c>
      <c r="L1000" s="8" t="s">
        <v>31</v>
      </c>
      <c r="M1000" s="8" t="s">
        <v>34</v>
      </c>
      <c r="P1000" s="9">
        <v>44120.0</v>
      </c>
      <c r="Q1000" s="10">
        <v>0.08333333333575865</v>
      </c>
      <c r="R1000" s="11" t="str">
        <f t="shared" si="1"/>
        <v>Прохождение обучения</v>
      </c>
      <c r="S1000" s="16" t="str">
        <f>iferror(VLOOKUP(C1000,'ФИО'!A:B,2,0),"учётный код не найден")</f>
        <v>Кезерев Виталий Романович</v>
      </c>
      <c r="T1000" s="13" t="str">
        <f t="shared" si="2"/>
        <v/>
      </c>
      <c r="W1000" s="17" t="str">
        <f>IFERROR((((38412/(ifs(O1000&lt;35,35,O1000&gt;34,O1000)/N1000)*0.7))),"Данные не заполены")</f>
        <v>Данные не заполены</v>
      </c>
      <c r="X1000" s="14" t="str">
        <f t="shared" si="105"/>
        <v>Данные не заполены</v>
      </c>
      <c r="Y1000" s="15">
        <f t="shared" si="108"/>
        <v>0</v>
      </c>
    </row>
    <row r="1001" hidden="1">
      <c r="A1001" s="7">
        <v>44123.820097812495</v>
      </c>
      <c r="B1001" s="8" t="s">
        <v>87</v>
      </c>
      <c r="C1001" s="8">
        <v>21928.0</v>
      </c>
      <c r="D1001" s="8" t="s">
        <v>27</v>
      </c>
      <c r="E1001" s="8" t="s">
        <v>88</v>
      </c>
      <c r="G1001" s="8">
        <v>3754.0</v>
      </c>
      <c r="H1001" s="8" t="s">
        <v>45</v>
      </c>
      <c r="K1001" s="8" t="s">
        <v>124</v>
      </c>
      <c r="L1001" s="8" t="s">
        <v>37</v>
      </c>
      <c r="P1001" s="9">
        <v>44123.0</v>
      </c>
      <c r="Q1001" s="10">
        <v>0.34027777778101154</v>
      </c>
      <c r="R1001" s="11" t="str">
        <f t="shared" si="1"/>
        <v>Сборка на линии Sec</v>
      </c>
      <c r="S1001" s="16" t="str">
        <f>iferror(VLOOKUP(C1001,'ФИО'!A:B,2,0),"учётный код не найден")</f>
        <v>Савченко Виктория Андреевна</v>
      </c>
      <c r="T1001" s="13" t="str">
        <f t="shared" si="2"/>
        <v>ПУ 910-00120.D - Печатный узел модуля 2CAN+LIN</v>
      </c>
      <c r="U1001" s="8">
        <v>0.0</v>
      </c>
      <c r="V1001" s="8">
        <v>0.0</v>
      </c>
      <c r="X1001" s="14" t="str">
        <f t="shared" si="105"/>
        <v>Данные не заполены</v>
      </c>
      <c r="Y1001" s="15">
        <f t="shared" si="108"/>
        <v>0</v>
      </c>
    </row>
    <row r="1002" hidden="1">
      <c r="A1002" s="7">
        <v>44123.82047652778</v>
      </c>
      <c r="B1002" s="8" t="s">
        <v>87</v>
      </c>
      <c r="C1002" s="8">
        <v>21928.0</v>
      </c>
      <c r="D1002" s="8" t="s">
        <v>27</v>
      </c>
      <c r="E1002" s="8" t="s">
        <v>68</v>
      </c>
      <c r="L1002" s="8" t="s">
        <v>31</v>
      </c>
      <c r="M1002" s="8" t="s">
        <v>34</v>
      </c>
      <c r="P1002" s="9">
        <v>44123.0</v>
      </c>
      <c r="Q1002" s="10">
        <v>0.04166666666424135</v>
      </c>
      <c r="R1002" s="11" t="str">
        <f t="shared" si="1"/>
        <v>Прохождение обучения</v>
      </c>
      <c r="S1002" s="16" t="str">
        <f>iferror(VLOOKUP(C1002,'ФИО'!A:B,2,0),"учётный код не найден")</f>
        <v>Савченко Виктория Андреевна</v>
      </c>
      <c r="T1002" s="13" t="str">
        <f t="shared" si="2"/>
        <v/>
      </c>
      <c r="X1002" s="14" t="str">
        <f t="shared" si="105"/>
        <v>Данные не заполены</v>
      </c>
      <c r="Y1002" s="15">
        <f t="shared" si="108"/>
        <v>0</v>
      </c>
    </row>
    <row r="1003" hidden="1">
      <c r="A1003" s="7">
        <v>44123.82114407407</v>
      </c>
      <c r="B1003" s="8" t="s">
        <v>87</v>
      </c>
      <c r="C1003" s="8">
        <v>21928.0</v>
      </c>
      <c r="D1003" s="8" t="s">
        <v>27</v>
      </c>
      <c r="E1003" s="8" t="s">
        <v>40</v>
      </c>
      <c r="G1003" s="8">
        <v>3754.0</v>
      </c>
      <c r="H1003" s="8" t="s">
        <v>45</v>
      </c>
      <c r="K1003" s="8" t="s">
        <v>124</v>
      </c>
      <c r="L1003" s="8" t="s">
        <v>31</v>
      </c>
      <c r="M1003" s="8" t="s">
        <v>34</v>
      </c>
      <c r="P1003" s="9">
        <v>44123.0</v>
      </c>
      <c r="Q1003" s="10">
        <v>0.07638888889050577</v>
      </c>
      <c r="R1003" s="11" t="str">
        <f t="shared" si="1"/>
        <v>Зарядка питателей Sec</v>
      </c>
      <c r="S1003" s="16" t="str">
        <f>iferror(VLOOKUP(C1003,'ФИО'!A:B,2,0),"учётный код не найден")</f>
        <v>Савченко Виктория Андреевна</v>
      </c>
      <c r="T1003" s="13" t="str">
        <f t="shared" si="2"/>
        <v>ПУ 910-00120.D - Печатный узел модуля 2CAN+LIN</v>
      </c>
      <c r="U1003" s="8">
        <v>112.0</v>
      </c>
      <c r="V1003" s="8">
        <v>0.0</v>
      </c>
      <c r="W1003" s="8">
        <v>660.0</v>
      </c>
      <c r="X1003" s="14">
        <f t="shared" si="105"/>
        <v>1.018181818</v>
      </c>
      <c r="Y1003" s="15">
        <f t="shared" si="108"/>
        <v>0</v>
      </c>
    </row>
    <row r="1004" hidden="1">
      <c r="A1004" s="7">
        <v>44123.77653821759</v>
      </c>
      <c r="B1004" s="8" t="s">
        <v>87</v>
      </c>
      <c r="C1004" s="8">
        <v>21426.0</v>
      </c>
      <c r="D1004" s="8" t="s">
        <v>27</v>
      </c>
      <c r="E1004" s="8" t="s">
        <v>68</v>
      </c>
      <c r="L1004" s="8" t="s">
        <v>31</v>
      </c>
      <c r="M1004" s="8" t="s">
        <v>34</v>
      </c>
      <c r="P1004" s="9">
        <v>44123.0</v>
      </c>
      <c r="Q1004" s="10">
        <v>0.041666666666666664</v>
      </c>
      <c r="R1004" s="11" t="str">
        <f t="shared" si="1"/>
        <v>Прохождение обучения</v>
      </c>
      <c r="S1004" s="16" t="str">
        <f>iferror(VLOOKUP(C1004,'ФИО'!A:B,2,0),"учётный код не найден")</f>
        <v>Скибинский Антон Германович</v>
      </c>
      <c r="T1004" s="13" t="str">
        <f t="shared" si="2"/>
        <v/>
      </c>
      <c r="X1004" s="14" t="str">
        <f t="shared" si="105"/>
        <v>Данные не заполены</v>
      </c>
      <c r="Y1004" s="15">
        <f t="shared" si="108"/>
        <v>0</v>
      </c>
    </row>
    <row r="1005" hidden="1">
      <c r="A1005" s="7">
        <v>44124.338746469904</v>
      </c>
      <c r="B1005" s="8" t="s">
        <v>126</v>
      </c>
      <c r="C1005" s="8">
        <v>21171.0</v>
      </c>
      <c r="D1005" s="8" t="s">
        <v>27</v>
      </c>
      <c r="E1005" s="8" t="s">
        <v>65</v>
      </c>
      <c r="G1005" s="8">
        <v>3754.0</v>
      </c>
      <c r="H1005" s="8" t="s">
        <v>45</v>
      </c>
      <c r="K1005" s="8" t="s">
        <v>124</v>
      </c>
      <c r="L1005" s="8" t="s">
        <v>31</v>
      </c>
      <c r="M1005" s="8" t="s">
        <v>34</v>
      </c>
      <c r="P1005" s="9">
        <v>44120.0</v>
      </c>
      <c r="Q1005" s="10">
        <v>0.14583333333575865</v>
      </c>
      <c r="R1005" s="11" t="str">
        <f t="shared" si="1"/>
        <v>Проверка комплектации</v>
      </c>
      <c r="S1005" s="16" t="str">
        <f>iferror(VLOOKUP(C1005,'ФИО'!A:B,2,0),"учётный код не найден")</f>
        <v>Муртищева Ольга Валентиновна</v>
      </c>
      <c r="T1005" s="13" t="str">
        <f t="shared" si="2"/>
        <v>ПУ 910-00120.D - Печатный узел модуля 2CAN+LIN</v>
      </c>
      <c r="U1005" s="8">
        <v>5745.0</v>
      </c>
      <c r="V1005" s="8">
        <v>1347.0</v>
      </c>
      <c r="X1005" s="14" t="str">
        <f t="shared" si="105"/>
        <v>Данные не заполены</v>
      </c>
      <c r="Y1005" s="15">
        <f t="shared" si="108"/>
        <v>0.234464752</v>
      </c>
    </row>
    <row r="1006" hidden="1">
      <c r="A1006" s="7">
        <v>44123.77812803241</v>
      </c>
      <c r="B1006" s="8" t="s">
        <v>87</v>
      </c>
      <c r="C1006" s="8">
        <v>21426.0</v>
      </c>
      <c r="D1006" s="8" t="s">
        <v>27</v>
      </c>
      <c r="E1006" s="8" t="s">
        <v>88</v>
      </c>
      <c r="G1006" s="8">
        <v>3754.0</v>
      </c>
      <c r="H1006" s="8" t="s">
        <v>45</v>
      </c>
      <c r="K1006" s="8" t="s">
        <v>124</v>
      </c>
      <c r="L1006" s="8" t="s">
        <v>37</v>
      </c>
      <c r="P1006" s="9">
        <v>44123.0</v>
      </c>
      <c r="Q1006" s="10">
        <v>0.10416666666424135</v>
      </c>
      <c r="R1006" s="11" t="str">
        <f t="shared" si="1"/>
        <v>Сборка на линии Sec</v>
      </c>
      <c r="S1006" s="16" t="str">
        <f>iferror(VLOOKUP(C1006,'ФИО'!A:B,2,0),"учётный код не найден")</f>
        <v>Скибинский Антон Германович</v>
      </c>
      <c r="T1006" s="13" t="str">
        <f t="shared" si="2"/>
        <v>ПУ 910-00120.D - Печатный узел модуля 2CAN+LIN</v>
      </c>
      <c r="U1006" s="8">
        <v>0.0</v>
      </c>
      <c r="V1006" s="8">
        <v>0.0</v>
      </c>
      <c r="X1006" s="14" t="str">
        <f t="shared" si="105"/>
        <v>Данные не заполены</v>
      </c>
      <c r="Y1006" s="15">
        <f t="shared" si="108"/>
        <v>0</v>
      </c>
    </row>
    <row r="1007" hidden="1">
      <c r="A1007" s="7">
        <v>44123.81399127315</v>
      </c>
      <c r="B1007" s="8" t="s">
        <v>87</v>
      </c>
      <c r="C1007" s="8">
        <v>21426.0</v>
      </c>
      <c r="D1007" s="8" t="s">
        <v>27</v>
      </c>
      <c r="E1007" s="8" t="s">
        <v>244</v>
      </c>
      <c r="G1007" s="8">
        <v>3754.0</v>
      </c>
      <c r="H1007" s="8" t="s">
        <v>45</v>
      </c>
      <c r="K1007" s="8" t="s">
        <v>124</v>
      </c>
      <c r="L1007" s="8" t="s">
        <v>31</v>
      </c>
      <c r="M1007" s="8" t="s">
        <v>34</v>
      </c>
      <c r="P1007" s="9">
        <v>44123.0</v>
      </c>
      <c r="Q1007" s="10">
        <v>0.3020833333333333</v>
      </c>
      <c r="R1007" s="11" t="str">
        <f t="shared" si="1"/>
        <v>ReviewStation sec</v>
      </c>
      <c r="S1007" s="16" t="str">
        <f>iferror(VLOOKUP(C1007,'ФИО'!A:B,2,0),"учётный код не найден")</f>
        <v>Скибинский Антон Германович</v>
      </c>
      <c r="T1007" s="13" t="str">
        <f t="shared" si="2"/>
        <v>ПУ 910-00120.D - Печатный узел модуля 2CAN+LIN</v>
      </c>
      <c r="U1007" s="8">
        <v>0.0</v>
      </c>
      <c r="V1007" s="8">
        <v>0.0</v>
      </c>
      <c r="X1007" s="14" t="str">
        <f t="shared" si="105"/>
        <v>Данные не заполены</v>
      </c>
      <c r="Y1007" s="15">
        <f t="shared" si="108"/>
        <v>0</v>
      </c>
    </row>
    <row r="1008" hidden="1">
      <c r="A1008" s="7">
        <v>44124.32043402777</v>
      </c>
      <c r="B1008" s="8" t="s">
        <v>38</v>
      </c>
      <c r="C1008" s="8">
        <v>21852.0</v>
      </c>
      <c r="D1008" s="8" t="s">
        <v>27</v>
      </c>
      <c r="E1008" s="8" t="s">
        <v>100</v>
      </c>
      <c r="G1008" s="8">
        <v>3754.0</v>
      </c>
      <c r="H1008" s="8" t="s">
        <v>45</v>
      </c>
      <c r="K1008" s="8" t="s">
        <v>124</v>
      </c>
      <c r="L1008" s="8" t="s">
        <v>37</v>
      </c>
      <c r="P1008" s="9">
        <v>44123.0</v>
      </c>
      <c r="Q1008" s="10">
        <v>0.45833333333575865</v>
      </c>
      <c r="R1008" s="11" t="str">
        <f t="shared" si="1"/>
        <v>Проверка плат на АОИ Sec</v>
      </c>
      <c r="S1008" s="16" t="str">
        <f>iferror(VLOOKUP(C1008,'ФИО'!A:B,2,0),"учётный код не найден")</f>
        <v>Пономарев Юрий Андреевич</v>
      </c>
      <c r="T1008" s="13" t="str">
        <f t="shared" si="2"/>
        <v>ПУ 910-00120.D - Печатный узел модуля 2CAN+LIN</v>
      </c>
      <c r="U1008" s="8">
        <v>6936.0</v>
      </c>
      <c r="V1008" s="8">
        <v>1056.0</v>
      </c>
      <c r="X1008" s="14" t="str">
        <f t="shared" si="105"/>
        <v>Данные не заполены</v>
      </c>
      <c r="Y1008" s="15">
        <f t="shared" si="108"/>
        <v>0.1522491349</v>
      </c>
      <c r="Z1008" s="8" t="s">
        <v>245</v>
      </c>
    </row>
    <row r="1009" hidden="1">
      <c r="A1009" s="7">
        <v>44117.326581076384</v>
      </c>
      <c r="B1009" s="8" t="s">
        <v>38</v>
      </c>
      <c r="C1009" s="8">
        <v>22087.0</v>
      </c>
      <c r="D1009" s="8" t="s">
        <v>27</v>
      </c>
      <c r="E1009" s="8" t="s">
        <v>97</v>
      </c>
      <c r="G1009" s="8">
        <v>3580.0</v>
      </c>
      <c r="H1009" s="8" t="s">
        <v>29</v>
      </c>
      <c r="I1009" s="8" t="s">
        <v>146</v>
      </c>
      <c r="L1009" s="8" t="s">
        <v>37</v>
      </c>
      <c r="P1009" s="9">
        <v>44116.0</v>
      </c>
      <c r="Q1009" s="10">
        <v>0.013888888890505768</v>
      </c>
      <c r="R1009" s="11" t="str">
        <f t="shared" si="1"/>
        <v>Проверка плат на АОИ Prim</v>
      </c>
      <c r="S1009" s="16" t="str">
        <f>iferror(VLOOKUP(C1009,'ФИО'!A:B,2,0),"учётный код не найден")</f>
        <v>Хохряков Илья Александрович</v>
      </c>
      <c r="T1009" s="13" t="str">
        <f t="shared" si="2"/>
        <v>XR (Термотроник)</v>
      </c>
      <c r="U1009" s="8">
        <v>23.0</v>
      </c>
      <c r="V1009" s="8">
        <v>17.0</v>
      </c>
      <c r="W1009" s="21" t="str">
        <f>IFERROR((((38412/(ifs(O1009&lt;35,35,O1009&gt;34,O1009)/N1009)*0.7))),"Данные не заполены")</f>
        <v>Данные не заполены</v>
      </c>
      <c r="X1009" s="15" t="str">
        <f t="shared" si="105"/>
        <v>Данные не заполены</v>
      </c>
      <c r="Y1009" s="15">
        <f t="shared" si="108"/>
        <v>0.7391304348</v>
      </c>
      <c r="Z1009" s="8" t="s">
        <v>246</v>
      </c>
    </row>
    <row r="1010" hidden="1">
      <c r="A1010" s="7">
        <v>44132.32468313657</v>
      </c>
      <c r="B1010" s="8" t="s">
        <v>38</v>
      </c>
      <c r="C1010" s="8">
        <v>22087.0</v>
      </c>
      <c r="D1010" s="8" t="s">
        <v>27</v>
      </c>
      <c r="E1010" s="8" t="s">
        <v>97</v>
      </c>
      <c r="G1010" s="8">
        <v>3621.0</v>
      </c>
      <c r="H1010" s="8" t="s">
        <v>29</v>
      </c>
      <c r="I1010" s="8" t="s">
        <v>54</v>
      </c>
      <c r="L1010" s="8" t="s">
        <v>37</v>
      </c>
      <c r="P1010" s="9">
        <v>44131.0</v>
      </c>
      <c r="Q1010" s="10">
        <v>0.33333333333575865</v>
      </c>
      <c r="R1010" s="11" t="str">
        <f t="shared" si="1"/>
        <v>Проверка плат на АОИ Prim</v>
      </c>
      <c r="S1010" s="12" t="str">
        <f>iferror(VLOOKUP(C1010,'ФИО'!A:B,2,0),"учётный код не найден")</f>
        <v>Хохряков Илья Александрович</v>
      </c>
      <c r="T1010" s="13" t="str">
        <f t="shared" si="2"/>
        <v>915-00121.A - Процессорный модуль РСЕН.469555.027 (КНС Групп)</v>
      </c>
      <c r="U1010" s="8">
        <v>0.0</v>
      </c>
      <c r="V1010" s="8">
        <v>40.0</v>
      </c>
      <c r="X1010" s="14" t="str">
        <f t="shared" si="105"/>
        <v>Данные не заполены</v>
      </c>
      <c r="Y1010" s="15">
        <f t="shared" si="108"/>
        <v>40</v>
      </c>
      <c r="Z1010" s="8" t="s">
        <v>247</v>
      </c>
    </row>
    <row r="1011" hidden="1">
      <c r="A1011" s="7">
        <v>44123.8222134838</v>
      </c>
      <c r="B1011" s="8" t="s">
        <v>87</v>
      </c>
      <c r="C1011" s="8">
        <v>50000.0</v>
      </c>
      <c r="D1011" s="8" t="s">
        <v>27</v>
      </c>
      <c r="E1011" s="8" t="s">
        <v>67</v>
      </c>
      <c r="G1011" s="8">
        <v>3754.0</v>
      </c>
      <c r="H1011" s="8" t="s">
        <v>45</v>
      </c>
      <c r="K1011" s="8" t="s">
        <v>124</v>
      </c>
      <c r="L1011" s="8" t="s">
        <v>37</v>
      </c>
      <c r="N1011" s="8">
        <v>36.0</v>
      </c>
      <c r="O1011" s="8">
        <v>97.0</v>
      </c>
      <c r="P1011" s="9">
        <v>44123.0</v>
      </c>
      <c r="Q1011" s="10">
        <v>0.35763888889050577</v>
      </c>
      <c r="R1011" s="11" t="str">
        <f t="shared" si="1"/>
        <v>Сборка на линии Prim</v>
      </c>
      <c r="S1011" s="16" t="str">
        <f>iferror(VLOOKUP(C1011,'ФИО'!A:B,2,0),"учётный код не найден")</f>
        <v>SMT</v>
      </c>
      <c r="T1011" s="13" t="str">
        <f t="shared" si="2"/>
        <v>ПУ 910-00120.D - Печатный узел модуля 2CAN+LIN</v>
      </c>
      <c r="U1011" s="8">
        <v>6012.0</v>
      </c>
      <c r="V1011" s="8">
        <v>0.0</v>
      </c>
      <c r="W1011" s="17">
        <f t="shared" ref="W1011:W1012" si="111">IFERROR((((38412/(ifs(O1011&lt;35,35,O1011&gt;34,O1011)/N1011)*0.7))),"Данные не заполены")</f>
        <v>9979.2</v>
      </c>
      <c r="X1011" s="14">
        <f t="shared" si="105"/>
        <v>0.7720758206</v>
      </c>
      <c r="Y1011" s="15">
        <f t="shared" si="108"/>
        <v>0</v>
      </c>
    </row>
    <row r="1012" hidden="1">
      <c r="A1012" s="7">
        <v>44108.325313611116</v>
      </c>
      <c r="B1012" s="8" t="s">
        <v>38</v>
      </c>
      <c r="C1012" s="8">
        <v>22087.0</v>
      </c>
      <c r="D1012" s="8" t="s">
        <v>27</v>
      </c>
      <c r="E1012" s="8" t="s">
        <v>100</v>
      </c>
      <c r="G1012" s="8">
        <v>3706.0</v>
      </c>
      <c r="H1012" s="8" t="s">
        <v>45</v>
      </c>
      <c r="K1012" s="8" t="s">
        <v>91</v>
      </c>
      <c r="L1012" s="8" t="s">
        <v>37</v>
      </c>
      <c r="P1012" s="9">
        <v>44107.0</v>
      </c>
      <c r="Q1012" s="10">
        <v>0.020833333335758653</v>
      </c>
      <c r="R1012" s="11" t="str">
        <f t="shared" si="1"/>
        <v>Проверка плат на АОИ Sec</v>
      </c>
      <c r="S1012" s="16" t="str">
        <f>iferror(VLOOKUP(C1012,'ФИО'!A:B,2,0),"учётный код не найден")</f>
        <v>Хохряков Илья Александрович</v>
      </c>
      <c r="T1012" s="13" t="str">
        <f t="shared" si="2"/>
        <v>ПУ Сигма 10/15 910-00080.D</v>
      </c>
      <c r="U1012" s="8">
        <v>32.0</v>
      </c>
      <c r="V1012" s="8">
        <v>32.0</v>
      </c>
      <c r="W1012" s="21" t="str">
        <f t="shared" si="111"/>
        <v>Данные не заполены</v>
      </c>
      <c r="X1012" s="15" t="str">
        <f t="shared" si="105"/>
        <v>Данные не заполены</v>
      </c>
      <c r="Y1012" s="15">
        <f t="shared" si="108"/>
        <v>1</v>
      </c>
    </row>
    <row r="1013" hidden="1">
      <c r="A1013" s="7">
        <v>44124.317146319445</v>
      </c>
      <c r="B1013" s="8" t="s">
        <v>38</v>
      </c>
      <c r="C1013" s="8">
        <v>50000.0</v>
      </c>
      <c r="D1013" s="8" t="s">
        <v>27</v>
      </c>
      <c r="E1013" s="8" t="s">
        <v>88</v>
      </c>
      <c r="G1013" s="8">
        <v>3754.0</v>
      </c>
      <c r="H1013" s="8" t="s">
        <v>45</v>
      </c>
      <c r="K1013" s="8" t="s">
        <v>124</v>
      </c>
      <c r="L1013" s="8" t="s">
        <v>37</v>
      </c>
      <c r="N1013" s="8">
        <v>36.0</v>
      </c>
      <c r="O1013" s="8">
        <v>98.0</v>
      </c>
      <c r="P1013" s="9">
        <v>44123.0</v>
      </c>
      <c r="Q1013" s="10">
        <v>0.47152777777777777</v>
      </c>
      <c r="R1013" s="11" t="str">
        <f t="shared" si="1"/>
        <v>Сборка на линии Sec</v>
      </c>
      <c r="S1013" s="16" t="str">
        <f>iferror(VLOOKUP(C1013,'ФИО'!A:B,2,0),"учётный код не найден")</f>
        <v>SMT</v>
      </c>
      <c r="T1013" s="13" t="str">
        <f t="shared" si="2"/>
        <v>ПУ 910-00120.D - Печатный узел модуля 2CAN+LIN</v>
      </c>
      <c r="U1013" s="8">
        <v>8028.0</v>
      </c>
      <c r="V1013" s="8">
        <v>0.0</v>
      </c>
      <c r="W1013" s="8">
        <v>13821.0</v>
      </c>
      <c r="X1013" s="14">
        <f t="shared" si="105"/>
        <v>0.5646015396</v>
      </c>
      <c r="Y1013" s="15">
        <f t="shared" si="108"/>
        <v>0</v>
      </c>
      <c r="Z1013" s="8" t="s">
        <v>248</v>
      </c>
    </row>
    <row r="1014" hidden="1">
      <c r="A1014" s="7">
        <v>44124.31646224537</v>
      </c>
      <c r="B1014" s="8" t="s">
        <v>38</v>
      </c>
      <c r="C1014" s="8">
        <v>60000.0</v>
      </c>
      <c r="D1014" s="8" t="s">
        <v>69</v>
      </c>
      <c r="F1014" s="8" t="s">
        <v>72</v>
      </c>
      <c r="G1014" s="8">
        <v>3047.0</v>
      </c>
      <c r="H1014" s="8" t="s">
        <v>29</v>
      </c>
      <c r="I1014" s="8" t="s">
        <v>77</v>
      </c>
      <c r="L1014" s="8" t="s">
        <v>37</v>
      </c>
      <c r="N1014" s="8">
        <v>2.0</v>
      </c>
      <c r="O1014" s="8">
        <v>149.0</v>
      </c>
      <c r="P1014" s="9">
        <v>44123.0</v>
      </c>
      <c r="Q1014" s="10">
        <v>0.20833333333575865</v>
      </c>
      <c r="R1014" s="11" t="str">
        <f t="shared" si="1"/>
        <v>Пайка компонентов PRI</v>
      </c>
      <c r="S1014" s="12" t="str">
        <f>iferror(VLOOKUP(C1014,'ФИО'!A:B,2,0),"учётный код не найден")</f>
        <v>THT</v>
      </c>
      <c r="T1014" s="13" t="str">
        <f t="shared" si="2"/>
        <v>915-00081.A-Модуль Трик8 (Кибертех)</v>
      </c>
      <c r="U1014" s="8">
        <v>68.0</v>
      </c>
      <c r="V1014" s="8">
        <v>0.0</v>
      </c>
      <c r="W1014" s="8">
        <v>306.0</v>
      </c>
      <c r="X1014" s="14">
        <f t="shared" si="105"/>
        <v>0.4888888889</v>
      </c>
      <c r="Y1014" s="15">
        <f t="shared" si="108"/>
        <v>0</v>
      </c>
      <c r="Z1014" s="8" t="s">
        <v>249</v>
      </c>
    </row>
    <row r="1015" hidden="1">
      <c r="A1015" s="7">
        <v>44133.319690324075</v>
      </c>
      <c r="B1015" s="8" t="s">
        <v>38</v>
      </c>
      <c r="C1015" s="8">
        <v>21475.0</v>
      </c>
      <c r="D1015" s="8" t="s">
        <v>27</v>
      </c>
      <c r="E1015" s="8" t="s">
        <v>67</v>
      </c>
      <c r="G1015" s="8">
        <v>3802.0</v>
      </c>
      <c r="H1015" s="8" t="s">
        <v>45</v>
      </c>
      <c r="K1015" s="8" t="s">
        <v>120</v>
      </c>
      <c r="L1015" s="8" t="s">
        <v>37</v>
      </c>
      <c r="P1015" s="9">
        <v>44132.0</v>
      </c>
      <c r="Q1015" s="10">
        <v>0.020833333335758653</v>
      </c>
      <c r="R1015" s="11" t="str">
        <f t="shared" si="1"/>
        <v>Сборка на линии Prim</v>
      </c>
      <c r="S1015" s="12" t="str">
        <f>iferror(VLOOKUP(C1015,'ФИО'!A:B,2,0),"учётный код не найден")</f>
        <v>Байрамашвили Альберт Зурабович</v>
      </c>
      <c r="T1015" s="13" t="str">
        <f t="shared" si="2"/>
        <v>М15ECO (900-00030.С) 910-00034.C/910-00041.C</v>
      </c>
      <c r="U1015" s="8">
        <v>0.0</v>
      </c>
      <c r="V1015" s="8">
        <v>0.0</v>
      </c>
      <c r="X1015" s="14" t="str">
        <f t="shared" si="105"/>
        <v>Данные не заполены</v>
      </c>
      <c r="Y1015" s="15">
        <f t="shared" si="108"/>
        <v>0</v>
      </c>
    </row>
    <row r="1016" hidden="1">
      <c r="A1016" s="7">
        <v>44137.31369826389</v>
      </c>
      <c r="B1016" s="8" t="s">
        <v>126</v>
      </c>
      <c r="C1016" s="8">
        <v>22574.0</v>
      </c>
      <c r="D1016" s="8" t="s">
        <v>27</v>
      </c>
      <c r="E1016" s="8" t="s">
        <v>67</v>
      </c>
      <c r="G1016" s="8">
        <v>3778.0</v>
      </c>
      <c r="H1016" s="8" t="s">
        <v>45</v>
      </c>
      <c r="K1016" s="8" t="s">
        <v>46</v>
      </c>
      <c r="L1016" s="8" t="s">
        <v>37</v>
      </c>
      <c r="P1016" s="9">
        <v>44136.0</v>
      </c>
      <c r="Q1016" s="10">
        <v>0.45833333333575865</v>
      </c>
      <c r="R1016" s="11" t="str">
        <f t="shared" si="1"/>
        <v>Сборка на линии Prim</v>
      </c>
      <c r="S1016" s="16" t="str">
        <f>iferror(VLOOKUP(C1016,'ФИО'!A:B,2,0),"учётный код не найден")</f>
        <v>Шапенков Геннадий Михайлович</v>
      </c>
      <c r="T1016" s="11" t="str">
        <f t="shared" si="2"/>
        <v>ПУ 910-00349.A "Печатный узел основного блока E96 4LIN"</v>
      </c>
      <c r="U1016" s="8">
        <v>0.0</v>
      </c>
      <c r="V1016" s="8">
        <v>0.0</v>
      </c>
      <c r="W1016" s="17" t="str">
        <f t="shared" ref="W1016:W1022" si="112">IFERROR((((38412/(ifs(O1016&lt;35,35,O1016&gt;34,O1016)/N1016)*0.7))),"Данные не заполены")</f>
        <v>Данные не заполены</v>
      </c>
      <c r="X1016" s="14" t="str">
        <f t="shared" si="105"/>
        <v>Данные не заполены</v>
      </c>
      <c r="Y1016" s="15">
        <f t="shared" si="108"/>
        <v>0</v>
      </c>
    </row>
    <row r="1017" hidden="1">
      <c r="A1017" s="7">
        <v>44128.32845755787</v>
      </c>
      <c r="B1017" s="8" t="s">
        <v>126</v>
      </c>
      <c r="C1017" s="8">
        <v>21927.0</v>
      </c>
      <c r="D1017" s="8" t="s">
        <v>27</v>
      </c>
      <c r="E1017" s="8" t="s">
        <v>65</v>
      </c>
      <c r="G1017" s="8">
        <v>3237.0</v>
      </c>
      <c r="H1017" s="8" t="s">
        <v>29</v>
      </c>
      <c r="I1017" s="8" t="s">
        <v>56</v>
      </c>
      <c r="L1017" s="8" t="s">
        <v>31</v>
      </c>
      <c r="M1017" s="8" t="s">
        <v>34</v>
      </c>
      <c r="P1017" s="9">
        <v>44127.0</v>
      </c>
      <c r="Q1017" s="10">
        <v>0.16666666666424135</v>
      </c>
      <c r="R1017" s="11" t="str">
        <f t="shared" si="1"/>
        <v>Проверка комплектации</v>
      </c>
      <c r="S1017" s="16" t="str">
        <f>iferror(VLOOKUP(C1017,'ФИО'!A:B,2,0),"учётный код не найден")</f>
        <v>Шергин Родион Олегович</v>
      </c>
      <c r="T1017" s="13" t="str">
        <f t="shared" si="2"/>
        <v>915-00098.А - ПКБУИК-38 АСЛБ.465122.020 (Квант)</v>
      </c>
      <c r="U1017" s="8">
        <v>0.0</v>
      </c>
      <c r="V1017" s="8">
        <v>0.0</v>
      </c>
      <c r="W1017" s="17" t="str">
        <f t="shared" si="112"/>
        <v>Данные не заполены</v>
      </c>
      <c r="X1017" s="14" t="str">
        <f t="shared" si="105"/>
        <v>Данные не заполены</v>
      </c>
      <c r="Y1017" s="15">
        <f t="shared" si="108"/>
        <v>0</v>
      </c>
    </row>
    <row r="1018" hidden="1">
      <c r="A1018" s="7">
        <v>44113.33663304398</v>
      </c>
      <c r="B1018" s="8" t="s">
        <v>126</v>
      </c>
      <c r="C1018" s="8">
        <v>22063.0</v>
      </c>
      <c r="D1018" s="8" t="s">
        <v>69</v>
      </c>
      <c r="F1018" s="8" t="s">
        <v>103</v>
      </c>
      <c r="G1018" s="8">
        <v>3579.0</v>
      </c>
      <c r="H1018" s="8" t="s">
        <v>29</v>
      </c>
      <c r="I1018" s="8" t="s">
        <v>42</v>
      </c>
      <c r="L1018" s="8" t="s">
        <v>31</v>
      </c>
      <c r="M1018" s="8" t="s">
        <v>250</v>
      </c>
      <c r="N1018" s="8"/>
      <c r="O1018" s="8"/>
      <c r="P1018" s="9">
        <v>44112.0</v>
      </c>
      <c r="Q1018" s="10">
        <v>0.25</v>
      </c>
      <c r="R1018" s="11" t="str">
        <f t="shared" si="1"/>
        <v>Проверка на АОИ PRI</v>
      </c>
      <c r="S1018" s="16" t="str">
        <f>iferror(VLOOKUP(C1018,'ФИО'!A:B,2,0),"учётный код не найден")</f>
        <v>Белоглазов Сергей Анатольевич</v>
      </c>
      <c r="T1018" s="13" t="str">
        <f t="shared" si="2"/>
        <v>915-00070.A - Модуль телематики ТМ1 v3 (Сознательные машины)</v>
      </c>
      <c r="U1018" s="8">
        <v>153.0</v>
      </c>
      <c r="V1018" s="8">
        <v>0.0</v>
      </c>
      <c r="W1018" s="21" t="str">
        <f t="shared" si="112"/>
        <v>Данные не заполены</v>
      </c>
      <c r="X1018" s="15" t="str">
        <f t="shared" si="105"/>
        <v>Данные не заполены</v>
      </c>
      <c r="Y1018" s="15">
        <f t="shared" si="108"/>
        <v>0</v>
      </c>
    </row>
    <row r="1019" hidden="1">
      <c r="A1019" s="7">
        <v>44109.90393255787</v>
      </c>
      <c r="B1019" s="8" t="s">
        <v>127</v>
      </c>
      <c r="C1019" s="8">
        <v>21171.0</v>
      </c>
      <c r="D1019" s="8" t="s">
        <v>27</v>
      </c>
      <c r="E1019" s="8" t="s">
        <v>28</v>
      </c>
      <c r="G1019" s="8">
        <v>3726.0</v>
      </c>
      <c r="H1019" s="8" t="s">
        <v>45</v>
      </c>
      <c r="K1019" s="8" t="s">
        <v>58</v>
      </c>
      <c r="L1019" s="8" t="s">
        <v>31</v>
      </c>
      <c r="M1019" s="8" t="s">
        <v>34</v>
      </c>
      <c r="N1019" s="8"/>
      <c r="O1019" s="8"/>
      <c r="P1019" s="9">
        <v>44109.0</v>
      </c>
      <c r="Q1019" s="10">
        <v>0.04166666666424135</v>
      </c>
      <c r="R1019" s="11" t="str">
        <f t="shared" si="1"/>
        <v>Выполнение дополнительных работ на линии</v>
      </c>
      <c r="S1019" s="16" t="str">
        <f>iferror(VLOOKUP(C1019,'ФИО'!A:B,2,0),"учётный код не найден")</f>
        <v>Муртищева Ольга Валентиновна</v>
      </c>
      <c r="T1019" s="11" t="str">
        <f t="shared" si="2"/>
        <v>ПУ метки i95</v>
      </c>
      <c r="U1019" s="8">
        <v>0.0</v>
      </c>
      <c r="V1019" s="8">
        <v>0.0</v>
      </c>
      <c r="W1019" s="21" t="str">
        <f t="shared" si="112"/>
        <v>Данные не заполены</v>
      </c>
      <c r="X1019" s="15" t="str">
        <f t="shared" si="105"/>
        <v>Данные не заполены</v>
      </c>
      <c r="Y1019" s="15">
        <f t="shared" si="108"/>
        <v>0</v>
      </c>
    </row>
    <row r="1020" hidden="1">
      <c r="A1020" s="7">
        <v>44109.36562950231</v>
      </c>
      <c r="B1020" s="8" t="s">
        <v>127</v>
      </c>
      <c r="C1020" s="8">
        <v>21171.0</v>
      </c>
      <c r="D1020" s="8" t="s">
        <v>27</v>
      </c>
      <c r="E1020" s="8" t="s">
        <v>48</v>
      </c>
      <c r="L1020" s="8" t="s">
        <v>31</v>
      </c>
      <c r="M1020" s="8" t="s">
        <v>34</v>
      </c>
      <c r="N1020" s="8"/>
      <c r="O1020" s="8"/>
      <c r="P1020" s="9">
        <v>44108.0</v>
      </c>
      <c r="Q1020" s="10">
        <v>0.10763888889050577</v>
      </c>
      <c r="R1020" s="11" t="str">
        <f t="shared" si="1"/>
        <v>Выполнение организационных работ</v>
      </c>
      <c r="S1020" s="16" t="str">
        <f>iferror(VLOOKUP(C1020,'ФИО'!A:B,2,0),"учётный код не найден")</f>
        <v>Муртищева Ольга Валентиновна</v>
      </c>
      <c r="T1020" s="11" t="str">
        <f t="shared" si="2"/>
        <v/>
      </c>
      <c r="U1020" s="8">
        <v>0.0</v>
      </c>
      <c r="V1020" s="8">
        <v>0.0</v>
      </c>
      <c r="W1020" s="21" t="str">
        <f t="shared" si="112"/>
        <v>Данные не заполены</v>
      </c>
      <c r="X1020" s="15" t="str">
        <f t="shared" si="105"/>
        <v>Данные не заполены</v>
      </c>
      <c r="Y1020" s="15">
        <f t="shared" si="108"/>
        <v>0</v>
      </c>
    </row>
    <row r="1021" hidden="1">
      <c r="A1021" s="7">
        <v>44117.67418480324</v>
      </c>
      <c r="B1021" s="8" t="s">
        <v>127</v>
      </c>
      <c r="C1021" s="8">
        <v>21171.0</v>
      </c>
      <c r="D1021" s="8" t="s">
        <v>27</v>
      </c>
      <c r="E1021" s="8" t="s">
        <v>48</v>
      </c>
      <c r="L1021" s="8" t="s">
        <v>31</v>
      </c>
      <c r="M1021" s="8" t="s">
        <v>34</v>
      </c>
      <c r="P1021" s="9">
        <v>44116.0</v>
      </c>
      <c r="Q1021" s="10">
        <v>0.0625</v>
      </c>
      <c r="R1021" s="11" t="str">
        <f t="shared" si="1"/>
        <v>Выполнение организационных работ</v>
      </c>
      <c r="S1021" s="16" t="str">
        <f>iferror(VLOOKUP(C1021,'ФИО'!A:B,2,0),"учётный код не найден")</f>
        <v>Муртищева Ольга Валентиновна</v>
      </c>
      <c r="T1021" s="11" t="str">
        <f t="shared" si="2"/>
        <v/>
      </c>
      <c r="W1021" s="17" t="str">
        <f t="shared" si="112"/>
        <v>Данные не заполены</v>
      </c>
      <c r="X1021" s="14" t="str">
        <f t="shared" si="105"/>
        <v>Данные не заполены</v>
      </c>
      <c r="Y1021" s="15">
        <f t="shared" si="108"/>
        <v>0</v>
      </c>
    </row>
    <row r="1022" hidden="1">
      <c r="A1022" s="7">
        <v>44120.858587442126</v>
      </c>
      <c r="B1022" s="8" t="s">
        <v>126</v>
      </c>
      <c r="C1022" s="8">
        <v>22063.0</v>
      </c>
      <c r="D1022" s="8" t="s">
        <v>69</v>
      </c>
      <c r="F1022" s="8" t="s">
        <v>103</v>
      </c>
      <c r="G1022" s="8">
        <v>3750.0</v>
      </c>
      <c r="H1022" s="8" t="s">
        <v>9</v>
      </c>
      <c r="J1022" s="8" t="s">
        <v>46</v>
      </c>
      <c r="L1022" s="8" t="s">
        <v>37</v>
      </c>
      <c r="P1022" s="9">
        <v>44119.0</v>
      </c>
      <c r="Q1022" s="10">
        <v>0.25</v>
      </c>
      <c r="R1022" s="11" t="str">
        <f t="shared" si="1"/>
        <v>Проверка на АОИ PRI</v>
      </c>
      <c r="S1022" s="16" t="str">
        <f>iferror(VLOOKUP(C1022,'ФИО'!A:B,2,0),"учётный код не найден")</f>
        <v>Белоглазов Сергей Анатольевич</v>
      </c>
      <c r="T1022" s="13" t="str">
        <f t="shared" si="2"/>
        <v>ПУ 910-00349.A "Печатный узел основного блока E96 4LIN"</v>
      </c>
      <c r="U1022" s="8">
        <v>0.0</v>
      </c>
      <c r="V1022" s="8">
        <v>0.0</v>
      </c>
      <c r="W1022" s="17" t="str">
        <f t="shared" si="112"/>
        <v>Данные не заполены</v>
      </c>
      <c r="X1022" s="14" t="str">
        <f t="shared" si="105"/>
        <v>Данные не заполены</v>
      </c>
    </row>
    <row r="1023" hidden="1">
      <c r="A1023" s="7">
        <v>44121.3426896412</v>
      </c>
      <c r="B1023" s="8" t="s">
        <v>126</v>
      </c>
      <c r="C1023" s="8">
        <v>22063.0</v>
      </c>
      <c r="D1023" s="8" t="s">
        <v>69</v>
      </c>
      <c r="F1023" s="8" t="s">
        <v>103</v>
      </c>
      <c r="G1023" s="8">
        <v>3579.0</v>
      </c>
      <c r="H1023" s="8" t="s">
        <v>29</v>
      </c>
      <c r="I1023" s="8" t="s">
        <v>42</v>
      </c>
      <c r="L1023" s="8" t="s">
        <v>37</v>
      </c>
      <c r="P1023" s="9">
        <v>44120.0</v>
      </c>
      <c r="Q1023" s="10">
        <v>0.25</v>
      </c>
      <c r="R1023" s="11" t="str">
        <f t="shared" si="1"/>
        <v>Проверка на АОИ PRI</v>
      </c>
      <c r="S1023" s="16" t="str">
        <f>iferror(VLOOKUP(C1023,'ФИО'!A:B,2,0),"учётный код не найден")</f>
        <v>Белоглазов Сергей Анатольевич</v>
      </c>
      <c r="T1023" s="13" t="str">
        <f t="shared" si="2"/>
        <v>915-00070.A - Модуль телематики ТМ1 v3 (Сознательные машины)</v>
      </c>
      <c r="U1023" s="8">
        <v>96.0</v>
      </c>
      <c r="V1023" s="8">
        <v>546.0</v>
      </c>
    </row>
    <row r="1024" hidden="1">
      <c r="A1024" s="7">
        <v>44129.32132574074</v>
      </c>
      <c r="B1024" s="8" t="s">
        <v>126</v>
      </c>
      <c r="C1024" s="8">
        <v>22063.0</v>
      </c>
      <c r="D1024" s="8" t="s">
        <v>69</v>
      </c>
      <c r="F1024" s="8" t="s">
        <v>103</v>
      </c>
      <c r="G1024" s="8">
        <v>3047.0</v>
      </c>
      <c r="H1024" s="8" t="s">
        <v>29</v>
      </c>
      <c r="I1024" s="8" t="s">
        <v>77</v>
      </c>
      <c r="L1024" s="8" t="s">
        <v>31</v>
      </c>
      <c r="M1024" s="8" t="s">
        <v>251</v>
      </c>
      <c r="P1024" s="9">
        <v>44128.0</v>
      </c>
      <c r="Q1024" s="10">
        <v>0.22916666666424135</v>
      </c>
      <c r="R1024" s="11" t="str">
        <f t="shared" si="1"/>
        <v>Проверка на АОИ PRI</v>
      </c>
      <c r="S1024" s="12" t="str">
        <f>iferror(VLOOKUP(C1024,'ФИО'!A:B,2,0),"учётный код не найден")</f>
        <v>Белоглазов Сергей Анатольевич</v>
      </c>
      <c r="T1024" s="13" t="str">
        <f t="shared" si="2"/>
        <v>915-00081.A-Модуль Трик8 (Кибертех)</v>
      </c>
      <c r="U1024" s="8">
        <v>108.0</v>
      </c>
      <c r="V1024" s="8">
        <v>14.0</v>
      </c>
      <c r="W1024" s="17" t="str">
        <f t="shared" ref="W1024:W1032" si="113">IFERROR((((38412/(ifs(O1024&lt;35,35,O1024&gt;34,O1024)/N1024)*0.7))),"Данные не заполены")</f>
        <v>Данные не заполены</v>
      </c>
      <c r="X1024" s="14" t="str">
        <f t="shared" ref="X1024:X1124" si="114">IFERROR((((V1024+U1024)/Q1024)/24)/(W1024/11),"Данные не заполены")</f>
        <v>Данные не заполены</v>
      </c>
      <c r="Y1024" s="15">
        <f t="shared" ref="Y1024:Y1098" si="115">iferror((V1024/if(U1024=0,1,U1024)),0)</f>
        <v>0.1296296296</v>
      </c>
      <c r="Z1024" s="8" t="s">
        <v>252</v>
      </c>
    </row>
    <row r="1025" hidden="1">
      <c r="A1025" s="7">
        <v>44112.34980542824</v>
      </c>
      <c r="B1025" s="8" t="s">
        <v>126</v>
      </c>
      <c r="C1025" s="8">
        <v>22063.0</v>
      </c>
      <c r="D1025" s="8" t="s">
        <v>69</v>
      </c>
      <c r="F1025" s="8" t="s">
        <v>81</v>
      </c>
      <c r="G1025" s="8">
        <v>3233.0</v>
      </c>
      <c r="H1025" s="8" t="s">
        <v>29</v>
      </c>
      <c r="I1025" s="8" t="s">
        <v>60</v>
      </c>
      <c r="L1025" s="8" t="s">
        <v>31</v>
      </c>
      <c r="M1025" s="8" t="s">
        <v>253</v>
      </c>
      <c r="N1025" s="8"/>
      <c r="O1025" s="8"/>
      <c r="P1025" s="9">
        <v>44111.0</v>
      </c>
      <c r="Q1025" s="10">
        <v>0.10416666666424135</v>
      </c>
      <c r="R1025" s="11" t="str">
        <f t="shared" si="1"/>
        <v>Проверка на АОИ SEC</v>
      </c>
      <c r="S1025" s="16" t="str">
        <f>iferror(VLOOKUP(C1025,'ФИО'!A:B,2,0),"учётный код не найден")</f>
        <v>Белоглазов Сергей Анатольевич</v>
      </c>
      <c r="T1025" s="13" t="str">
        <f t="shared" si="2"/>
        <v>915-00102.A - ПБОК-2В АСЛБ.465285.013 (Квант)</v>
      </c>
      <c r="U1025" s="8">
        <v>39.0</v>
      </c>
      <c r="V1025" s="8">
        <v>0.0</v>
      </c>
      <c r="W1025" s="21" t="str">
        <f t="shared" si="113"/>
        <v>Данные не заполены</v>
      </c>
      <c r="X1025" s="15" t="str">
        <f t="shared" si="114"/>
        <v>Данные не заполены</v>
      </c>
      <c r="Y1025" s="15">
        <f t="shared" si="115"/>
        <v>0</v>
      </c>
    </row>
    <row r="1026" hidden="1">
      <c r="A1026" s="7">
        <v>44118.81284960648</v>
      </c>
      <c r="B1026" s="8" t="s">
        <v>127</v>
      </c>
      <c r="C1026" s="8">
        <v>21171.0</v>
      </c>
      <c r="D1026" s="8" t="s">
        <v>27</v>
      </c>
      <c r="E1026" s="8" t="s">
        <v>48</v>
      </c>
      <c r="L1026" s="8" t="s">
        <v>31</v>
      </c>
      <c r="M1026" s="8" t="s">
        <v>34</v>
      </c>
      <c r="P1026" s="9">
        <v>44117.0</v>
      </c>
      <c r="Q1026" s="10">
        <v>0.125</v>
      </c>
      <c r="R1026" s="11" t="str">
        <f t="shared" si="1"/>
        <v>Выполнение организационных работ</v>
      </c>
      <c r="S1026" s="22" t="s">
        <v>254</v>
      </c>
      <c r="T1026" s="11" t="str">
        <f t="shared" si="2"/>
        <v/>
      </c>
      <c r="W1026" s="17" t="str">
        <f t="shared" si="113"/>
        <v>Данные не заполены</v>
      </c>
      <c r="X1026" s="14" t="str">
        <f t="shared" si="114"/>
        <v>Данные не заполены</v>
      </c>
      <c r="Y1026" s="15">
        <f t="shared" si="115"/>
        <v>0</v>
      </c>
    </row>
    <row r="1027" hidden="1">
      <c r="A1027" s="7">
        <v>44117.67448835648</v>
      </c>
      <c r="B1027" s="8" t="s">
        <v>127</v>
      </c>
      <c r="C1027" s="8">
        <v>21171.0</v>
      </c>
      <c r="D1027" s="8" t="s">
        <v>27</v>
      </c>
      <c r="E1027" s="8" t="s">
        <v>50</v>
      </c>
      <c r="L1027" s="8" t="s">
        <v>31</v>
      </c>
      <c r="M1027" s="8" t="s">
        <v>34</v>
      </c>
      <c r="P1027" s="9">
        <v>44116.0</v>
      </c>
      <c r="Q1027" s="10">
        <v>0.020833333335758653</v>
      </c>
      <c r="R1027" s="11" t="str">
        <f t="shared" si="1"/>
        <v>Заполнение отчёта</v>
      </c>
      <c r="S1027" s="16" t="str">
        <f>iferror(VLOOKUP(C1027,'ФИО'!A:B,2,0),"учётный код не найден")</f>
        <v>Муртищева Ольга Валентиновна</v>
      </c>
      <c r="T1027" s="11" t="str">
        <f t="shared" si="2"/>
        <v/>
      </c>
      <c r="W1027" s="17" t="str">
        <f t="shared" si="113"/>
        <v>Данные не заполены</v>
      </c>
      <c r="X1027" s="14" t="str">
        <f t="shared" si="114"/>
        <v>Данные не заполены</v>
      </c>
      <c r="Y1027" s="15">
        <f t="shared" si="115"/>
        <v>0</v>
      </c>
    </row>
    <row r="1028" hidden="1">
      <c r="A1028" s="7">
        <v>44112.32747167824</v>
      </c>
      <c r="B1028" s="8" t="s">
        <v>126</v>
      </c>
      <c r="C1028" s="8">
        <v>22574.0</v>
      </c>
      <c r="D1028" s="8" t="s">
        <v>27</v>
      </c>
      <c r="E1028" s="8" t="s">
        <v>66</v>
      </c>
      <c r="G1028" s="8">
        <v>3580.0</v>
      </c>
      <c r="H1028" s="8" t="s">
        <v>29</v>
      </c>
      <c r="I1028" s="8" t="s">
        <v>145</v>
      </c>
      <c r="L1028" s="8" t="s">
        <v>37</v>
      </c>
      <c r="P1028" s="9">
        <v>44111.0</v>
      </c>
      <c r="Q1028" s="10">
        <v>0.020833333335758653</v>
      </c>
      <c r="R1028" s="11" t="str">
        <f t="shared" si="1"/>
        <v>Проверка первой платы до оплавления</v>
      </c>
      <c r="S1028" s="16" t="str">
        <f>iferror(VLOOKUP(C1028,'ФИО'!A:B,2,0),"учётный код не найден")</f>
        <v>Шапенков Геннадий Михайлович</v>
      </c>
      <c r="T1028" s="13" t="str">
        <f t="shared" si="2"/>
        <v>XR (OÜ KLARBERG)</v>
      </c>
      <c r="U1028" s="8">
        <v>0.0</v>
      </c>
      <c r="V1028" s="8">
        <v>0.0</v>
      </c>
      <c r="W1028" s="21" t="str">
        <f t="shared" si="113"/>
        <v>Данные не заполены</v>
      </c>
      <c r="X1028" s="15" t="str">
        <f t="shared" si="114"/>
        <v>Данные не заполены</v>
      </c>
      <c r="Y1028" s="15">
        <f t="shared" si="115"/>
        <v>0</v>
      </c>
    </row>
    <row r="1029" hidden="1">
      <c r="A1029" s="7">
        <v>44113.33238199074</v>
      </c>
      <c r="B1029" s="8" t="s">
        <v>126</v>
      </c>
      <c r="C1029" s="8">
        <v>21927.0</v>
      </c>
      <c r="D1029" s="8" t="s">
        <v>27</v>
      </c>
      <c r="E1029" s="8" t="s">
        <v>66</v>
      </c>
      <c r="G1029" s="8">
        <v>3580.0</v>
      </c>
      <c r="H1029" s="8" t="s">
        <v>29</v>
      </c>
      <c r="I1029" s="8" t="s">
        <v>146</v>
      </c>
      <c r="L1029" s="8" t="s">
        <v>31</v>
      </c>
      <c r="M1029" s="8" t="s">
        <v>34</v>
      </c>
      <c r="N1029" s="8"/>
      <c r="O1029" s="8"/>
      <c r="P1029" s="9">
        <v>44112.0</v>
      </c>
      <c r="Q1029" s="10">
        <v>0.04166666666424135</v>
      </c>
      <c r="R1029" s="11" t="str">
        <f t="shared" si="1"/>
        <v>Проверка первой платы до оплавления</v>
      </c>
      <c r="S1029" s="16" t="str">
        <f>iferror(VLOOKUP(C1029,'ФИО'!A:B,2,0),"учётный код не найден")</f>
        <v>Шергин Родион Олегович</v>
      </c>
      <c r="T1029" s="13" t="str">
        <f t="shared" si="2"/>
        <v>XR (Термотроник)</v>
      </c>
      <c r="U1029" s="8">
        <v>0.0</v>
      </c>
      <c r="V1029" s="8">
        <v>0.0</v>
      </c>
      <c r="W1029" s="21" t="str">
        <f t="shared" si="113"/>
        <v>Данные не заполены</v>
      </c>
      <c r="X1029" s="15" t="str">
        <f t="shared" si="114"/>
        <v>Данные не заполены</v>
      </c>
      <c r="Y1029" s="15">
        <f t="shared" si="115"/>
        <v>0</v>
      </c>
    </row>
    <row r="1030" hidden="1">
      <c r="A1030" s="7">
        <v>44132.82879127315</v>
      </c>
      <c r="B1030" s="8" t="s">
        <v>127</v>
      </c>
      <c r="C1030" s="8">
        <v>21171.0</v>
      </c>
      <c r="D1030" s="8" t="s">
        <v>27</v>
      </c>
      <c r="E1030" s="8" t="s">
        <v>39</v>
      </c>
      <c r="G1030" s="8">
        <v>3621.0</v>
      </c>
      <c r="H1030" s="8" t="s">
        <v>29</v>
      </c>
      <c r="I1030" s="8" t="s">
        <v>54</v>
      </c>
      <c r="L1030" s="8" t="s">
        <v>31</v>
      </c>
      <c r="M1030" s="8" t="s">
        <v>34</v>
      </c>
      <c r="P1030" s="9">
        <v>44132.0</v>
      </c>
      <c r="Q1030" s="10">
        <v>0.010416666664241347</v>
      </c>
      <c r="R1030" s="11" t="str">
        <f t="shared" si="1"/>
        <v>Зарядка питателей Prim</v>
      </c>
      <c r="S1030" s="16" t="str">
        <f>iferror(VLOOKUP(C1030,'ФИО'!A:B,2,0),"учётный код не найден")</f>
        <v>Муртищева Ольга Валентиновна</v>
      </c>
      <c r="T1030" s="11" t="str">
        <f t="shared" si="2"/>
        <v>915-00121.A - Процессорный модуль РСЕН.469555.027 (КНС Групп)</v>
      </c>
      <c r="U1030" s="8">
        <v>13.0</v>
      </c>
      <c r="V1030" s="8">
        <v>0.0</v>
      </c>
      <c r="W1030" s="17" t="str">
        <f t="shared" si="113"/>
        <v>Данные не заполены</v>
      </c>
      <c r="X1030" s="14" t="str">
        <f t="shared" si="114"/>
        <v>Данные не заполены</v>
      </c>
      <c r="Y1030" s="15">
        <f t="shared" si="115"/>
        <v>0</v>
      </c>
    </row>
    <row r="1031" hidden="1">
      <c r="A1031" s="7">
        <v>44125.375082962964</v>
      </c>
      <c r="B1031" s="8" t="s">
        <v>127</v>
      </c>
      <c r="C1031" s="8">
        <v>21171.0</v>
      </c>
      <c r="D1031" s="8" t="s">
        <v>27</v>
      </c>
      <c r="E1031" s="8" t="s">
        <v>123</v>
      </c>
      <c r="G1031" s="8">
        <v>3253.0</v>
      </c>
      <c r="H1031" s="8" t="s">
        <v>29</v>
      </c>
      <c r="I1031" s="8" t="s">
        <v>95</v>
      </c>
      <c r="L1031" s="8" t="s">
        <v>37</v>
      </c>
      <c r="P1031" s="9">
        <v>44124.0</v>
      </c>
      <c r="Q1031" s="10">
        <v>0.0625</v>
      </c>
      <c r="R1031" s="11" t="str">
        <f t="shared" si="1"/>
        <v>Настойка первой платы на АОИ PRI</v>
      </c>
      <c r="S1031" s="16" t="str">
        <f>iferror(VLOOKUP(C1031,'ФИО'!A:B,2,0),"учётный код не найден")</f>
        <v>Муртищева Ольга Валентиновна</v>
      </c>
      <c r="T1031" s="11" t="str">
        <f t="shared" si="2"/>
        <v>915-00095.A - ПКД-8В-1 АСЛБ.467249.108 (Квант)</v>
      </c>
      <c r="U1031" s="8">
        <v>0.0</v>
      </c>
      <c r="V1031" s="8">
        <v>0.0</v>
      </c>
      <c r="W1031" s="17" t="str">
        <f t="shared" si="113"/>
        <v>Данные не заполены</v>
      </c>
      <c r="X1031" s="14" t="str">
        <f t="shared" si="114"/>
        <v>Данные не заполены</v>
      </c>
      <c r="Y1031" s="15">
        <f t="shared" si="115"/>
        <v>0</v>
      </c>
    </row>
    <row r="1032" hidden="1">
      <c r="A1032" s="7">
        <v>44121.33410506944</v>
      </c>
      <c r="B1032" s="8" t="s">
        <v>126</v>
      </c>
      <c r="C1032" s="8">
        <v>21927.0</v>
      </c>
      <c r="D1032" s="8" t="s">
        <v>27</v>
      </c>
      <c r="E1032" s="8" t="s">
        <v>66</v>
      </c>
      <c r="G1032" s="8">
        <v>3649.0</v>
      </c>
      <c r="H1032" s="8" t="s">
        <v>29</v>
      </c>
      <c r="I1032" s="8" t="s">
        <v>33</v>
      </c>
      <c r="L1032" s="8" t="s">
        <v>31</v>
      </c>
      <c r="M1032" s="8" t="s">
        <v>34</v>
      </c>
      <c r="P1032" s="9">
        <v>44120.0</v>
      </c>
      <c r="Q1032" s="10">
        <v>0.020833333335758653</v>
      </c>
      <c r="R1032" s="11" t="str">
        <f t="shared" si="1"/>
        <v>Проверка первой платы до оплавления</v>
      </c>
      <c r="S1032" s="16" t="str">
        <f>iferror(VLOOKUP(C1032,'ФИО'!A:B,2,0),"учётный код не найден")</f>
        <v>Шергин Родион Олегович</v>
      </c>
      <c r="T1032" s="13" t="str">
        <f t="shared" si="2"/>
        <v>ssfp2.2 (Метротек)</v>
      </c>
      <c r="U1032" s="8">
        <v>0.0</v>
      </c>
      <c r="V1032" s="8">
        <v>0.0</v>
      </c>
      <c r="W1032" s="17" t="str">
        <f t="shared" si="113"/>
        <v>Данные не заполены</v>
      </c>
      <c r="X1032" s="14" t="str">
        <f t="shared" si="114"/>
        <v>Данные не заполены</v>
      </c>
      <c r="Y1032" s="15">
        <f t="shared" si="115"/>
        <v>0</v>
      </c>
    </row>
    <row r="1033" hidden="1">
      <c r="A1033" s="7">
        <v>44124.34187591435</v>
      </c>
      <c r="B1033" s="8" t="s">
        <v>126</v>
      </c>
      <c r="C1033" s="8">
        <v>21171.0</v>
      </c>
      <c r="D1033" s="8" t="s">
        <v>27</v>
      </c>
      <c r="E1033" s="8" t="s">
        <v>66</v>
      </c>
      <c r="G1033" s="8">
        <v>3754.0</v>
      </c>
      <c r="H1033" s="8" t="s">
        <v>45</v>
      </c>
      <c r="K1033" s="8" t="s">
        <v>124</v>
      </c>
      <c r="L1033" s="8" t="s">
        <v>31</v>
      </c>
      <c r="M1033" s="8" t="s">
        <v>34</v>
      </c>
      <c r="P1033" s="9">
        <v>44120.0</v>
      </c>
      <c r="Q1033" s="10">
        <v>0.04166666666424135</v>
      </c>
      <c r="R1033" s="11" t="str">
        <f t="shared" si="1"/>
        <v>Проверка первой платы до оплавления</v>
      </c>
      <c r="S1033" s="16" t="str">
        <f>iferror(VLOOKUP(C1033,'ФИО'!A:B,2,0),"учётный код не найден")</f>
        <v>Муртищева Ольга Валентиновна</v>
      </c>
      <c r="T1033" s="13" t="str">
        <f t="shared" si="2"/>
        <v>ПУ 910-00120.D - Печатный узел модуля 2CAN+LIN</v>
      </c>
      <c r="U1033" s="8">
        <v>5745.0</v>
      </c>
      <c r="V1033" s="8">
        <v>1347.0</v>
      </c>
      <c r="X1033" s="14" t="str">
        <f t="shared" si="114"/>
        <v>Данные не заполены</v>
      </c>
      <c r="Y1033" s="15">
        <f t="shared" si="115"/>
        <v>0.234464752</v>
      </c>
    </row>
    <row r="1034" hidden="1">
      <c r="A1034" s="7">
        <v>44120.811442453705</v>
      </c>
      <c r="B1034" s="8" t="s">
        <v>26</v>
      </c>
      <c r="C1034" s="8">
        <v>20015.0</v>
      </c>
      <c r="D1034" s="8" t="s">
        <v>69</v>
      </c>
      <c r="F1034" s="8" t="s">
        <v>104</v>
      </c>
      <c r="L1034" s="8" t="s">
        <v>31</v>
      </c>
      <c r="M1034" s="8" t="s">
        <v>34</v>
      </c>
      <c r="P1034" s="9">
        <v>44120.0</v>
      </c>
      <c r="Q1034" s="10">
        <v>0.08333333333333333</v>
      </c>
      <c r="R1034" s="11" t="str">
        <f t="shared" si="1"/>
        <v>Обучение</v>
      </c>
      <c r="S1034" s="16" t="str">
        <f>iferror(VLOOKUP(C1034,'ФИО'!A:B,2,0),"учётный код не найден")</f>
        <v>Ельцов Андрей Николаевич</v>
      </c>
      <c r="T1034" s="13" t="str">
        <f t="shared" si="2"/>
        <v/>
      </c>
      <c r="W1034" s="17" t="str">
        <f t="shared" ref="W1034:W1036" si="116">IFERROR((((38412/(ifs(O1034&lt;35,35,O1034&gt;34,O1034)/N1034)*0.7))),"Данные не заполены")</f>
        <v>Данные не заполены</v>
      </c>
      <c r="X1034" s="14" t="str">
        <f t="shared" si="114"/>
        <v>Данные не заполены</v>
      </c>
      <c r="Y1034" s="15">
        <f t="shared" si="115"/>
        <v>0</v>
      </c>
    </row>
    <row r="1035" hidden="1">
      <c r="A1035" s="7">
        <v>44125.38702193287</v>
      </c>
      <c r="B1035" s="8" t="s">
        <v>127</v>
      </c>
      <c r="C1035" s="8">
        <v>21171.0</v>
      </c>
      <c r="D1035" s="8" t="s">
        <v>27</v>
      </c>
      <c r="E1035" s="8" t="s">
        <v>123</v>
      </c>
      <c r="G1035" s="8">
        <v>3252.0</v>
      </c>
      <c r="H1035" s="8" t="s">
        <v>29</v>
      </c>
      <c r="I1035" s="8" t="s">
        <v>96</v>
      </c>
      <c r="L1035" s="8" t="s">
        <v>37</v>
      </c>
      <c r="P1035" s="9">
        <v>44124.0</v>
      </c>
      <c r="Q1035" s="10">
        <v>0.04166666666424135</v>
      </c>
      <c r="R1035" s="11" t="str">
        <f t="shared" si="1"/>
        <v>Настойка первой платы на АОИ PRI</v>
      </c>
      <c r="S1035" s="16" t="str">
        <f>iferror(VLOOKUP(C1035,'ФИО'!A:B,2,0),"учётный код не найден")</f>
        <v>Муртищева Ольга Валентиновна</v>
      </c>
      <c r="T1035" s="11" t="str">
        <f t="shared" si="2"/>
        <v>915-00096.A - ПКД-8В-2 АСЛБ.467249.109</v>
      </c>
      <c r="U1035" s="8">
        <v>0.0</v>
      </c>
      <c r="V1035" s="8">
        <v>0.0</v>
      </c>
      <c r="W1035" s="17" t="str">
        <f t="shared" si="116"/>
        <v>Данные не заполены</v>
      </c>
      <c r="X1035" s="14" t="str">
        <f t="shared" si="114"/>
        <v>Данные не заполены</v>
      </c>
      <c r="Y1035" s="15">
        <f t="shared" si="115"/>
        <v>0</v>
      </c>
    </row>
    <row r="1036" hidden="1">
      <c r="A1036" s="7">
        <v>44128.32210119213</v>
      </c>
      <c r="B1036" s="8" t="s">
        <v>126</v>
      </c>
      <c r="C1036" s="8">
        <v>22063.0</v>
      </c>
      <c r="D1036" s="8" t="s">
        <v>27</v>
      </c>
      <c r="E1036" s="8" t="s">
        <v>66</v>
      </c>
      <c r="G1036" s="8">
        <v>3804.0</v>
      </c>
      <c r="H1036" s="8" t="s">
        <v>45</v>
      </c>
      <c r="K1036" s="8" t="s">
        <v>52</v>
      </c>
      <c r="L1036" s="8" t="s">
        <v>31</v>
      </c>
      <c r="M1036" s="8" t="s">
        <v>34</v>
      </c>
      <c r="P1036" s="9">
        <v>44127.0</v>
      </c>
      <c r="Q1036" s="10">
        <v>0.0625</v>
      </c>
      <c r="R1036" s="11" t="str">
        <f t="shared" si="1"/>
        <v>Проверка первой платы до оплавления</v>
      </c>
      <c r="S1036" s="16" t="str">
        <f>iferror(VLOOKUP(C1036,'ФИО'!A:B,2,0),"учётный код не найден")</f>
        <v>Белоглазов Сергей Анатольевич</v>
      </c>
      <c r="T1036" s="13" t="str">
        <f t="shared" si="2"/>
        <v>М17V2 (900-00018.D)_910-00023.H и ПУ 910-00012.I</v>
      </c>
      <c r="U1036" s="8">
        <v>0.0</v>
      </c>
      <c r="V1036" s="8">
        <v>0.0</v>
      </c>
      <c r="W1036" s="17" t="str">
        <f t="shared" si="116"/>
        <v>Данные не заполены</v>
      </c>
      <c r="X1036" s="14" t="str">
        <f t="shared" si="114"/>
        <v>Данные не заполены</v>
      </c>
      <c r="Y1036" s="15">
        <f t="shared" si="115"/>
        <v>0</v>
      </c>
    </row>
    <row r="1037">
      <c r="A1037" s="7">
        <v>44124.315855243054</v>
      </c>
      <c r="B1037" s="8" t="s">
        <v>38</v>
      </c>
      <c r="C1037" s="8">
        <v>60000.0</v>
      </c>
      <c r="D1037" s="8" t="s">
        <v>69</v>
      </c>
      <c r="F1037" s="8" t="s">
        <v>72</v>
      </c>
      <c r="G1037" s="8">
        <v>3750.0</v>
      </c>
      <c r="H1037" s="8" t="s">
        <v>45</v>
      </c>
      <c r="K1037" s="8" t="s">
        <v>46</v>
      </c>
      <c r="L1037" s="8" t="s">
        <v>37</v>
      </c>
      <c r="N1037" s="8">
        <v>4.0</v>
      </c>
      <c r="O1037" s="8">
        <v>100.0</v>
      </c>
      <c r="P1037" s="9">
        <v>44123.0</v>
      </c>
      <c r="Q1037" s="10">
        <v>0.0625</v>
      </c>
      <c r="R1037" s="11" t="str">
        <f t="shared" si="1"/>
        <v>Пайка компонентов PRI</v>
      </c>
      <c r="S1037" s="12" t="str">
        <f>iferror(VLOOKUP(C1037,'ФИО'!A:B,2,0),"учётный код не найден")</f>
        <v>THT</v>
      </c>
      <c r="T1037" s="13" t="str">
        <f t="shared" si="2"/>
        <v>ПУ 910-00349.A "Печатный узел основного блока E96 4LIN"</v>
      </c>
      <c r="U1037" s="8">
        <v>160.0</v>
      </c>
      <c r="V1037" s="8">
        <v>0.0</v>
      </c>
      <c r="W1037" s="8">
        <v>1540.0</v>
      </c>
      <c r="X1037" s="14">
        <f t="shared" si="114"/>
        <v>0.7619047619</v>
      </c>
      <c r="Y1037" s="15">
        <f t="shared" si="115"/>
        <v>0</v>
      </c>
      <c r="Z1037" s="8" t="s">
        <v>255</v>
      </c>
    </row>
    <row r="1038" hidden="1">
      <c r="A1038" s="7">
        <v>44124.32646596065</v>
      </c>
      <c r="B1038" s="8" t="s">
        <v>38</v>
      </c>
      <c r="C1038" s="8">
        <v>21475.0</v>
      </c>
      <c r="D1038" s="8" t="s">
        <v>27</v>
      </c>
      <c r="E1038" s="8" t="s">
        <v>88</v>
      </c>
      <c r="G1038" s="8">
        <v>3754.0</v>
      </c>
      <c r="H1038" s="8" t="s">
        <v>45</v>
      </c>
      <c r="K1038" s="8" t="s">
        <v>124</v>
      </c>
      <c r="L1038" s="8" t="s">
        <v>37</v>
      </c>
      <c r="P1038" s="9">
        <v>44123.0</v>
      </c>
      <c r="Q1038" s="10">
        <v>0.45833333333575865</v>
      </c>
      <c r="R1038" s="11" t="str">
        <f t="shared" si="1"/>
        <v>Сборка на линии Sec</v>
      </c>
      <c r="S1038" s="16" t="str">
        <f>iferror(VLOOKUP(C1038,'ФИО'!A:B,2,0),"учётный код не найден")</f>
        <v>Байрамашвили Альберт Зурабович</v>
      </c>
      <c r="T1038" s="13" t="str">
        <f t="shared" si="2"/>
        <v>ПУ 910-00120.D - Печатный узел модуля 2CAN+LIN</v>
      </c>
      <c r="U1038" s="8">
        <v>0.0</v>
      </c>
      <c r="V1038" s="8">
        <v>0.0</v>
      </c>
      <c r="X1038" s="14" t="str">
        <f t="shared" si="114"/>
        <v>Данные не заполены</v>
      </c>
      <c r="Y1038" s="15">
        <f t="shared" si="115"/>
        <v>0</v>
      </c>
    </row>
    <row r="1039" hidden="1">
      <c r="A1039" s="7">
        <v>44128.81286289352</v>
      </c>
      <c r="B1039" s="8" t="s">
        <v>26</v>
      </c>
      <c r="C1039" s="8">
        <v>21475.0</v>
      </c>
      <c r="D1039" s="8" t="s">
        <v>27</v>
      </c>
      <c r="E1039" s="8" t="s">
        <v>88</v>
      </c>
      <c r="G1039" s="8">
        <v>3804.0</v>
      </c>
      <c r="H1039" s="8" t="s">
        <v>45</v>
      </c>
      <c r="K1039" s="8" t="s">
        <v>52</v>
      </c>
      <c r="L1039" s="8" t="s">
        <v>37</v>
      </c>
      <c r="P1039" s="9">
        <v>44128.0</v>
      </c>
      <c r="Q1039" s="10">
        <v>0.125</v>
      </c>
      <c r="R1039" s="11" t="str">
        <f t="shared" si="1"/>
        <v>Сборка на линии Sec</v>
      </c>
      <c r="S1039" s="16" t="str">
        <f>iferror(VLOOKUP(C1039,'ФИО'!A:B,2,0),"учётный код не найден")</f>
        <v>Байрамашвили Альберт Зурабович</v>
      </c>
      <c r="T1039" s="13" t="str">
        <f t="shared" si="2"/>
        <v>М17V2 (900-00018.D)_910-00023.H и ПУ 910-00012.I</v>
      </c>
      <c r="U1039" s="8">
        <v>0.0</v>
      </c>
      <c r="V1039" s="8">
        <v>0.0</v>
      </c>
      <c r="X1039" s="14" t="str">
        <f t="shared" si="114"/>
        <v>Данные не заполены</v>
      </c>
      <c r="Y1039" s="15">
        <f t="shared" si="115"/>
        <v>0</v>
      </c>
    </row>
    <row r="1040" hidden="1">
      <c r="A1040" s="7">
        <v>44129.825990474536</v>
      </c>
      <c r="B1040" s="8" t="s">
        <v>26</v>
      </c>
      <c r="C1040" s="8">
        <v>21475.0</v>
      </c>
      <c r="D1040" s="8" t="s">
        <v>27</v>
      </c>
      <c r="E1040" s="8" t="s">
        <v>88</v>
      </c>
      <c r="G1040" s="8">
        <v>3804.0</v>
      </c>
      <c r="H1040" s="8" t="s">
        <v>45</v>
      </c>
      <c r="K1040" s="8" t="s">
        <v>52</v>
      </c>
      <c r="L1040" s="8" t="s">
        <v>37</v>
      </c>
      <c r="P1040" s="9">
        <v>44129.0</v>
      </c>
      <c r="Q1040" s="10">
        <v>0.0625</v>
      </c>
      <c r="R1040" s="11" t="str">
        <f t="shared" si="1"/>
        <v>Сборка на линии Sec</v>
      </c>
      <c r="S1040" s="12" t="str">
        <f>iferror(VLOOKUP(C1040,'ФИО'!A:B,2,0),"учётный код не найден")</f>
        <v>Байрамашвили Альберт Зурабович</v>
      </c>
      <c r="T1040" s="13" t="str">
        <f t="shared" si="2"/>
        <v>М17V2 (900-00018.D)_910-00023.H и ПУ 910-00012.I</v>
      </c>
      <c r="U1040" s="8">
        <v>0.0</v>
      </c>
      <c r="V1040" s="8">
        <v>0.0</v>
      </c>
      <c r="X1040" s="14" t="str">
        <f t="shared" si="114"/>
        <v>Данные не заполены</v>
      </c>
      <c r="Y1040" s="15">
        <f t="shared" si="115"/>
        <v>0</v>
      </c>
    </row>
    <row r="1041" hidden="1">
      <c r="A1041" s="7">
        <v>44125.314164131945</v>
      </c>
      <c r="B1041" s="8" t="s">
        <v>38</v>
      </c>
      <c r="C1041" s="8">
        <v>21803.0</v>
      </c>
      <c r="D1041" s="8" t="s">
        <v>27</v>
      </c>
      <c r="E1041" s="8" t="s">
        <v>67</v>
      </c>
      <c r="G1041" s="8">
        <v>3253.0</v>
      </c>
      <c r="H1041" s="8" t="s">
        <v>29</v>
      </c>
      <c r="I1041" s="8" t="s">
        <v>95</v>
      </c>
      <c r="L1041" s="8" t="s">
        <v>37</v>
      </c>
      <c r="P1041" s="9">
        <v>44124.0</v>
      </c>
      <c r="Q1041" s="10">
        <v>0.08333333333575865</v>
      </c>
      <c r="R1041" s="11" t="str">
        <f t="shared" si="1"/>
        <v>Сборка на линии Prim</v>
      </c>
      <c r="S1041" s="16" t="str">
        <f>iferror(VLOOKUP(C1041,'ФИО'!A:B,2,0),"учётный код не найден")</f>
        <v>Белоглазова Виктория Сергеевна</v>
      </c>
      <c r="T1041" s="13" t="str">
        <f t="shared" si="2"/>
        <v>915-00095.A - ПКД-8В-1 АСЛБ.467249.108 (Квант)</v>
      </c>
      <c r="U1041" s="8">
        <v>0.0</v>
      </c>
      <c r="V1041" s="8">
        <v>0.0</v>
      </c>
      <c r="X1041" s="14" t="str">
        <f t="shared" si="114"/>
        <v>Данные не заполены</v>
      </c>
      <c r="Y1041" s="15">
        <f t="shared" si="115"/>
        <v>0</v>
      </c>
    </row>
    <row r="1042" hidden="1">
      <c r="A1042" s="7">
        <v>44125.310596828705</v>
      </c>
      <c r="B1042" s="8" t="s">
        <v>38</v>
      </c>
      <c r="C1042" s="8">
        <v>21803.0</v>
      </c>
      <c r="D1042" s="8" t="s">
        <v>27</v>
      </c>
      <c r="E1042" s="8" t="s">
        <v>67</v>
      </c>
      <c r="G1042" s="8">
        <v>3804.0</v>
      </c>
      <c r="H1042" s="8" t="s">
        <v>45</v>
      </c>
      <c r="K1042" s="8" t="s">
        <v>52</v>
      </c>
      <c r="L1042" s="8" t="s">
        <v>37</v>
      </c>
      <c r="P1042" s="9">
        <v>44124.0</v>
      </c>
      <c r="Q1042" s="10">
        <v>0.013888888890505768</v>
      </c>
      <c r="R1042" s="11" t="str">
        <f t="shared" si="1"/>
        <v>Сборка на линии Prim</v>
      </c>
      <c r="S1042" s="16" t="str">
        <f>iferror(VLOOKUP(C1042,'ФИО'!A:B,2,0),"учётный код не найден")</f>
        <v>Белоглазова Виктория Сергеевна</v>
      </c>
      <c r="T1042" s="13" t="str">
        <f t="shared" si="2"/>
        <v>М17V2 (900-00018.D)_910-00023.H и ПУ 910-00012.I</v>
      </c>
      <c r="U1042" s="8">
        <v>0.0</v>
      </c>
      <c r="V1042" s="8">
        <v>0.0</v>
      </c>
      <c r="X1042" s="14" t="str">
        <f t="shared" si="114"/>
        <v>Данные не заполены</v>
      </c>
      <c r="Y1042" s="15">
        <f t="shared" si="115"/>
        <v>0</v>
      </c>
    </row>
    <row r="1043" hidden="1">
      <c r="A1043" s="7">
        <v>44108.33388023148</v>
      </c>
      <c r="B1043" s="8" t="s">
        <v>38</v>
      </c>
      <c r="C1043" s="8">
        <v>21803.0</v>
      </c>
      <c r="D1043" s="8" t="s">
        <v>27</v>
      </c>
      <c r="E1043" s="8" t="s">
        <v>88</v>
      </c>
      <c r="G1043" s="8">
        <v>3706.0</v>
      </c>
      <c r="H1043" s="8" t="s">
        <v>45</v>
      </c>
      <c r="K1043" s="8" t="s">
        <v>91</v>
      </c>
      <c r="L1043" s="8" t="s">
        <v>37</v>
      </c>
      <c r="P1043" s="9">
        <v>44107.0</v>
      </c>
      <c r="Q1043" s="10">
        <v>0.04166666666424135</v>
      </c>
      <c r="R1043" s="11" t="str">
        <f t="shared" si="1"/>
        <v>Сборка на линии Sec</v>
      </c>
      <c r="S1043" s="16" t="str">
        <f>iferror(VLOOKUP(C1043,'ФИО'!A:B,2,0),"учётный код не найден")</f>
        <v>Белоглазова Виктория Сергеевна</v>
      </c>
      <c r="T1043" s="13" t="str">
        <f t="shared" si="2"/>
        <v>ПУ Сигма 10/15 910-00080.D</v>
      </c>
      <c r="U1043" s="8">
        <v>0.0</v>
      </c>
      <c r="V1043" s="8">
        <v>0.0</v>
      </c>
      <c r="W1043" s="21" t="str">
        <f>IFERROR((((38412/(ifs(O1043&lt;35,35,O1043&gt;34,O1043)/N1043)*0.7))),"Данные не заполены")</f>
        <v>Данные не заполены</v>
      </c>
      <c r="X1043" s="15" t="str">
        <f t="shared" si="114"/>
        <v>Данные не заполены</v>
      </c>
      <c r="Y1043" s="15">
        <f t="shared" si="115"/>
        <v>0</v>
      </c>
    </row>
    <row r="1044" hidden="1">
      <c r="A1044" s="7">
        <v>44124.29041516204</v>
      </c>
      <c r="B1044" s="8" t="s">
        <v>38</v>
      </c>
      <c r="C1044" s="8">
        <v>21803.0</v>
      </c>
      <c r="D1044" s="8" t="s">
        <v>27</v>
      </c>
      <c r="E1044" s="8" t="s">
        <v>88</v>
      </c>
      <c r="G1044" s="8">
        <v>3754.0</v>
      </c>
      <c r="H1044" s="8" t="s">
        <v>45</v>
      </c>
      <c r="K1044" s="8" t="s">
        <v>124</v>
      </c>
      <c r="L1044" s="8" t="s">
        <v>37</v>
      </c>
      <c r="P1044" s="9">
        <v>44123.0</v>
      </c>
      <c r="Q1044" s="10">
        <v>0.010416666664241347</v>
      </c>
      <c r="R1044" s="11" t="str">
        <f t="shared" si="1"/>
        <v>Сборка на линии Sec</v>
      </c>
      <c r="S1044" s="16" t="str">
        <f>iferror(VLOOKUP(C1044,'ФИО'!A:B,2,0),"учётный код не найден")</f>
        <v>Белоглазова Виктория Сергеевна</v>
      </c>
      <c r="T1044" s="13" t="str">
        <f t="shared" si="2"/>
        <v>ПУ 910-00120.D - Печатный узел модуля 2CAN+LIN</v>
      </c>
      <c r="U1044" s="8">
        <v>0.0</v>
      </c>
      <c r="V1044" s="8">
        <v>0.0</v>
      </c>
      <c r="X1044" s="14" t="str">
        <f t="shared" si="114"/>
        <v>Данные не заполены</v>
      </c>
      <c r="Y1044" s="15">
        <f t="shared" si="115"/>
        <v>0</v>
      </c>
    </row>
    <row r="1045" hidden="1">
      <c r="A1045" s="7">
        <v>44125.3120059838</v>
      </c>
      <c r="B1045" s="8" t="s">
        <v>38</v>
      </c>
      <c r="C1045" s="8">
        <v>21803.0</v>
      </c>
      <c r="D1045" s="8" t="s">
        <v>27</v>
      </c>
      <c r="E1045" s="8" t="s">
        <v>88</v>
      </c>
      <c r="G1045" s="8">
        <v>3804.0</v>
      </c>
      <c r="H1045" s="8" t="s">
        <v>45</v>
      </c>
      <c r="K1045" s="8" t="s">
        <v>52</v>
      </c>
      <c r="L1045" s="8" t="s">
        <v>37</v>
      </c>
      <c r="P1045" s="9">
        <v>44124.0</v>
      </c>
      <c r="Q1045" s="10">
        <v>0.04166666666424135</v>
      </c>
      <c r="R1045" s="11" t="str">
        <f t="shared" si="1"/>
        <v>Сборка на линии Sec</v>
      </c>
      <c r="S1045" s="16" t="str">
        <f>iferror(VLOOKUP(C1045,'ФИО'!A:B,2,0),"учётный код не найден")</f>
        <v>Белоглазова Виктория Сергеевна</v>
      </c>
      <c r="T1045" s="13" t="str">
        <f t="shared" si="2"/>
        <v>М17V2 (900-00018.D)_910-00023.H и ПУ 910-00012.I</v>
      </c>
      <c r="U1045" s="8">
        <v>0.0</v>
      </c>
      <c r="V1045" s="8">
        <v>0.0</v>
      </c>
      <c r="X1045" s="14" t="str">
        <f t="shared" si="114"/>
        <v>Данные не заполены</v>
      </c>
      <c r="Y1045" s="15">
        <f t="shared" si="115"/>
        <v>0</v>
      </c>
    </row>
    <row r="1046" hidden="1">
      <c r="A1046" s="7">
        <v>44128.828898252315</v>
      </c>
      <c r="B1046" s="8" t="s">
        <v>26</v>
      </c>
      <c r="C1046" s="8">
        <v>21803.0</v>
      </c>
      <c r="D1046" s="8" t="s">
        <v>27</v>
      </c>
      <c r="E1046" s="8" t="s">
        <v>88</v>
      </c>
      <c r="G1046" s="8">
        <v>3804.0</v>
      </c>
      <c r="H1046" s="8" t="s">
        <v>45</v>
      </c>
      <c r="K1046" s="8" t="s">
        <v>52</v>
      </c>
      <c r="L1046" s="8" t="s">
        <v>37</v>
      </c>
      <c r="P1046" s="9">
        <v>44128.0</v>
      </c>
      <c r="Q1046" s="10">
        <v>0.125</v>
      </c>
      <c r="R1046" s="11" t="str">
        <f t="shared" si="1"/>
        <v>Сборка на линии Sec</v>
      </c>
      <c r="S1046" s="16" t="str">
        <f>iferror(VLOOKUP(C1046,'ФИО'!A:B,2,0),"учётный код не найден")</f>
        <v>Белоглазова Виктория Сергеевна</v>
      </c>
      <c r="T1046" s="13" t="str">
        <f t="shared" si="2"/>
        <v>М17V2 (900-00018.D)_910-00023.H и ПУ 910-00012.I</v>
      </c>
      <c r="U1046" s="8">
        <v>0.0</v>
      </c>
      <c r="V1046" s="8">
        <v>0.0</v>
      </c>
      <c r="X1046" s="14" t="str">
        <f t="shared" si="114"/>
        <v>Данные не заполены</v>
      </c>
      <c r="Y1046" s="15">
        <f t="shared" si="115"/>
        <v>0</v>
      </c>
    </row>
    <row r="1047" hidden="1">
      <c r="A1047" s="7">
        <v>44109.31694197917</v>
      </c>
      <c r="B1047" s="8" t="s">
        <v>38</v>
      </c>
      <c r="C1047" s="8">
        <v>21803.0</v>
      </c>
      <c r="D1047" s="8" t="s">
        <v>27</v>
      </c>
      <c r="E1047" s="8" t="s">
        <v>256</v>
      </c>
      <c r="G1047" s="8">
        <v>3233.0</v>
      </c>
      <c r="H1047" s="8" t="s">
        <v>29</v>
      </c>
      <c r="I1047" s="8" t="s">
        <v>60</v>
      </c>
      <c r="L1047" s="8" t="s">
        <v>31</v>
      </c>
      <c r="M1047" s="8" t="s">
        <v>34</v>
      </c>
      <c r="N1047" s="8"/>
      <c r="O1047" s="8"/>
      <c r="P1047" s="9">
        <v>44108.0</v>
      </c>
      <c r="Q1047" s="10">
        <v>0.020833333335758653</v>
      </c>
      <c r="R1047" s="11" t="str">
        <f t="shared" si="1"/>
        <v>Сортировка</v>
      </c>
      <c r="S1047" s="16" t="str">
        <f>iferror(VLOOKUP(C1047,'ФИО'!A:B,2,0),"учётный код не найден")</f>
        <v>Белоглазова Виктория Сергеевна</v>
      </c>
      <c r="T1047" s="13" t="str">
        <f t="shared" si="2"/>
        <v>915-00102.A - ПБОК-2В АСЛБ.465285.013 (Квант)</v>
      </c>
      <c r="U1047" s="8">
        <v>0.0</v>
      </c>
      <c r="V1047" s="8">
        <v>0.0</v>
      </c>
      <c r="W1047" s="21" t="str">
        <f t="shared" ref="W1047:W1064" si="117">IFERROR((((38412/(ifs(O1047&lt;35,35,O1047&gt;34,O1047)/N1047)*0.7))),"Данные не заполены")</f>
        <v>Данные не заполены</v>
      </c>
      <c r="X1047" s="15" t="str">
        <f t="shared" si="114"/>
        <v>Данные не заполены</v>
      </c>
      <c r="Y1047" s="15">
        <f t="shared" si="115"/>
        <v>0</v>
      </c>
    </row>
    <row r="1048" hidden="1">
      <c r="A1048" s="7">
        <v>44112.824521296294</v>
      </c>
      <c r="B1048" s="8" t="s">
        <v>26</v>
      </c>
      <c r="C1048" s="8">
        <v>21803.0</v>
      </c>
      <c r="D1048" s="8" t="s">
        <v>27</v>
      </c>
      <c r="E1048" s="8" t="s">
        <v>256</v>
      </c>
      <c r="G1048" s="8">
        <v>3238.0</v>
      </c>
      <c r="H1048" s="8" t="s">
        <v>29</v>
      </c>
      <c r="I1048" s="8" t="s">
        <v>43</v>
      </c>
      <c r="L1048" s="8" t="s">
        <v>31</v>
      </c>
      <c r="M1048" s="8" t="s">
        <v>34</v>
      </c>
      <c r="N1048" s="8"/>
      <c r="O1048" s="8"/>
      <c r="P1048" s="9">
        <v>44112.0</v>
      </c>
      <c r="Q1048" s="10">
        <v>0.02361111111111111</v>
      </c>
      <c r="R1048" s="11" t="str">
        <f t="shared" si="1"/>
        <v>Сортировка</v>
      </c>
      <c r="S1048" s="16" t="str">
        <f>iferror(VLOOKUP(C1048,'ФИО'!A:B,2,0),"учётный код не найден")</f>
        <v>Белоглазова Виктория Сергеевна</v>
      </c>
      <c r="T1048" s="13" t="str">
        <f t="shared" si="2"/>
        <v>915-00097.A - ПКД-8В-3 АСЛБ.467249.110 (Квант)</v>
      </c>
      <c r="U1048" s="8">
        <v>0.0</v>
      </c>
      <c r="V1048" s="8">
        <v>0.0</v>
      </c>
      <c r="W1048" s="21" t="str">
        <f t="shared" si="117"/>
        <v>Данные не заполены</v>
      </c>
      <c r="X1048" s="15" t="str">
        <f t="shared" si="114"/>
        <v>Данные не заполены</v>
      </c>
      <c r="Y1048" s="15">
        <f t="shared" si="115"/>
        <v>0</v>
      </c>
    </row>
    <row r="1049" hidden="1">
      <c r="A1049" s="7">
        <v>44113.81571243056</v>
      </c>
      <c r="B1049" s="8" t="s">
        <v>26</v>
      </c>
      <c r="C1049" s="8">
        <v>21803.0</v>
      </c>
      <c r="D1049" s="8" t="s">
        <v>27</v>
      </c>
      <c r="E1049" s="8" t="s">
        <v>256</v>
      </c>
      <c r="G1049" s="8">
        <v>3750.0</v>
      </c>
      <c r="H1049" s="8" t="s">
        <v>45</v>
      </c>
      <c r="K1049" s="8" t="s">
        <v>46</v>
      </c>
      <c r="L1049" s="8" t="s">
        <v>31</v>
      </c>
      <c r="M1049" s="8" t="s">
        <v>34</v>
      </c>
      <c r="N1049" s="8"/>
      <c r="O1049" s="8"/>
      <c r="P1049" s="9">
        <v>44113.0</v>
      </c>
      <c r="Q1049" s="10">
        <v>0.08333333333575865</v>
      </c>
      <c r="R1049" s="11" t="str">
        <f t="shared" si="1"/>
        <v>Сортировка</v>
      </c>
      <c r="S1049" s="16" t="str">
        <f>iferror(VLOOKUP(C1049,'ФИО'!A:B,2,0),"учётный код не найден")</f>
        <v>Белоглазова Виктория Сергеевна</v>
      </c>
      <c r="T1049" s="13" t="str">
        <f t="shared" si="2"/>
        <v>ПУ 910-00349.A "Печатный узел основного блока E96 4LIN"</v>
      </c>
      <c r="U1049" s="8">
        <v>0.0</v>
      </c>
      <c r="V1049" s="8">
        <v>0.0</v>
      </c>
      <c r="W1049" s="21" t="str">
        <f t="shared" si="117"/>
        <v>Данные не заполены</v>
      </c>
      <c r="X1049" s="15" t="str">
        <f t="shared" si="114"/>
        <v>Данные не заполены</v>
      </c>
      <c r="Y1049" s="15">
        <f t="shared" si="115"/>
        <v>0</v>
      </c>
    </row>
    <row r="1050" hidden="1">
      <c r="A1050" s="7">
        <v>44117.323442106484</v>
      </c>
      <c r="B1050" s="8" t="s">
        <v>38</v>
      </c>
      <c r="C1050" s="8">
        <v>21803.0</v>
      </c>
      <c r="D1050" s="8" t="s">
        <v>27</v>
      </c>
      <c r="E1050" s="8" t="s">
        <v>256</v>
      </c>
      <c r="G1050" s="8">
        <v>3750.0</v>
      </c>
      <c r="H1050" s="8" t="s">
        <v>45</v>
      </c>
      <c r="K1050" s="8" t="s">
        <v>46</v>
      </c>
      <c r="L1050" s="8" t="s">
        <v>31</v>
      </c>
      <c r="M1050" s="8" t="s">
        <v>34</v>
      </c>
      <c r="N1050" s="8"/>
      <c r="O1050" s="8"/>
      <c r="P1050" s="9">
        <v>44116.0</v>
      </c>
      <c r="Q1050" s="10">
        <v>0.03472222221898846</v>
      </c>
      <c r="R1050" s="11" t="str">
        <f t="shared" si="1"/>
        <v>Сортировка</v>
      </c>
      <c r="S1050" s="16" t="str">
        <f>iferror(VLOOKUP(C1050,'ФИО'!A:B,2,0),"учётный код не найден")</f>
        <v>Белоглазова Виктория Сергеевна</v>
      </c>
      <c r="T1050" s="13" t="str">
        <f t="shared" si="2"/>
        <v>ПУ 910-00349.A "Печатный узел основного блока E96 4LIN"</v>
      </c>
      <c r="U1050" s="8">
        <v>0.0</v>
      </c>
      <c r="V1050" s="8">
        <v>0.0</v>
      </c>
      <c r="W1050" s="21" t="str">
        <f t="shared" si="117"/>
        <v>Данные не заполены</v>
      </c>
      <c r="X1050" s="15" t="str">
        <f t="shared" si="114"/>
        <v>Данные не заполены</v>
      </c>
      <c r="Y1050" s="15">
        <f t="shared" si="115"/>
        <v>0</v>
      </c>
    </row>
    <row r="1051" hidden="1">
      <c r="A1051" s="7">
        <v>44109.324806840275</v>
      </c>
      <c r="B1051" s="8" t="s">
        <v>38</v>
      </c>
      <c r="C1051" s="8">
        <v>21752.0</v>
      </c>
      <c r="D1051" s="8" t="s">
        <v>27</v>
      </c>
      <c r="E1051" s="8" t="s">
        <v>67</v>
      </c>
      <c r="G1051" s="8">
        <v>3233.0</v>
      </c>
      <c r="H1051" s="8" t="s">
        <v>29</v>
      </c>
      <c r="I1051" s="8" t="s">
        <v>60</v>
      </c>
      <c r="L1051" s="8" t="s">
        <v>37</v>
      </c>
      <c r="P1051" s="9">
        <v>44108.0</v>
      </c>
      <c r="Q1051" s="10">
        <v>0.020833333335758653</v>
      </c>
      <c r="R1051" s="11" t="str">
        <f t="shared" si="1"/>
        <v>Сборка на линии Prim</v>
      </c>
      <c r="S1051" s="16" t="str">
        <f>iferror(VLOOKUP(C1051,'ФИО'!A:B,2,0),"учётный код не найден")</f>
        <v>Егоров Александр Александрович</v>
      </c>
      <c r="T1051" s="13" t="str">
        <f t="shared" si="2"/>
        <v>915-00102.A - ПБОК-2В АСЛБ.465285.013 (Квант)</v>
      </c>
      <c r="U1051" s="8">
        <v>0.0</v>
      </c>
      <c r="V1051" s="8">
        <v>0.0</v>
      </c>
      <c r="W1051" s="21" t="str">
        <f t="shared" si="117"/>
        <v>Данные не заполены</v>
      </c>
      <c r="X1051" s="15" t="str">
        <f t="shared" si="114"/>
        <v>Данные не заполены</v>
      </c>
      <c r="Y1051" s="15">
        <f t="shared" si="115"/>
        <v>0</v>
      </c>
    </row>
    <row r="1052" hidden="1">
      <c r="A1052" s="7">
        <v>44121.82562454861</v>
      </c>
      <c r="B1052" s="8" t="s">
        <v>26</v>
      </c>
      <c r="C1052" s="8">
        <v>21752.0</v>
      </c>
      <c r="D1052" s="8" t="s">
        <v>27</v>
      </c>
      <c r="E1052" s="8" t="s">
        <v>67</v>
      </c>
      <c r="G1052" s="8">
        <v>3754.0</v>
      </c>
      <c r="H1052" s="8" t="s">
        <v>45</v>
      </c>
      <c r="K1052" s="8" t="s">
        <v>124</v>
      </c>
      <c r="L1052" s="8" t="s">
        <v>37</v>
      </c>
      <c r="P1052" s="9">
        <v>44121.0</v>
      </c>
      <c r="Q1052" s="10">
        <v>0.04166666666424135</v>
      </c>
      <c r="R1052" s="11" t="str">
        <f t="shared" si="1"/>
        <v>Сборка на линии Prim</v>
      </c>
      <c r="S1052" s="16" t="str">
        <f>iferror(VLOOKUP(C1052,'ФИО'!A:B,2,0),"учётный код не найден")</f>
        <v>Егоров Александр Александрович</v>
      </c>
      <c r="T1052" s="13" t="str">
        <f t="shared" si="2"/>
        <v>ПУ 910-00120.D - Печатный узел модуля 2CAN+LIN</v>
      </c>
      <c r="U1052" s="8">
        <v>0.0</v>
      </c>
      <c r="V1052" s="8">
        <v>0.0</v>
      </c>
      <c r="W1052" s="17" t="str">
        <f t="shared" si="117"/>
        <v>Данные не заполены</v>
      </c>
      <c r="X1052" s="14" t="str">
        <f t="shared" si="114"/>
        <v>Данные не заполены</v>
      </c>
      <c r="Y1052" s="15">
        <f t="shared" si="115"/>
        <v>0</v>
      </c>
    </row>
    <row r="1053" hidden="1">
      <c r="A1053" s="7">
        <v>44112.816547905095</v>
      </c>
      <c r="B1053" s="8" t="s">
        <v>26</v>
      </c>
      <c r="C1053" s="8">
        <v>21522.0</v>
      </c>
      <c r="D1053" s="8" t="s">
        <v>69</v>
      </c>
      <c r="F1053" s="8" t="s">
        <v>103</v>
      </c>
      <c r="G1053" s="8">
        <v>3232.0</v>
      </c>
      <c r="H1053" s="8" t="s">
        <v>29</v>
      </c>
      <c r="I1053" s="8" t="s">
        <v>63</v>
      </c>
      <c r="L1053" s="8" t="s">
        <v>37</v>
      </c>
      <c r="P1053" s="9">
        <v>44112.0</v>
      </c>
      <c r="Q1053" s="10">
        <v>0.020833333335758653</v>
      </c>
      <c r="R1053" s="11" t="str">
        <f t="shared" si="1"/>
        <v>Проверка на АОИ PRI</v>
      </c>
      <c r="S1053" s="16" t="str">
        <f>iferror(VLOOKUP(C1053,'ФИО'!A:B,2,0),"учётный код не найден")</f>
        <v>Исаев Никита Дмитриевич</v>
      </c>
      <c r="T1053" s="13" t="str">
        <f t="shared" si="2"/>
        <v>915-00103.A - ПБОК-1В АСЛБ.465285.012 (Квант)</v>
      </c>
      <c r="U1053" s="8">
        <v>11.0</v>
      </c>
      <c r="V1053" s="8">
        <v>0.0</v>
      </c>
      <c r="W1053" s="21" t="str">
        <f t="shared" si="117"/>
        <v>Данные не заполены</v>
      </c>
      <c r="X1053" s="15" t="str">
        <f t="shared" si="114"/>
        <v>Данные не заполены</v>
      </c>
      <c r="Y1053" s="15">
        <f t="shared" si="115"/>
        <v>0</v>
      </c>
    </row>
    <row r="1054" hidden="1">
      <c r="A1054" s="7">
        <v>44112.81656393519</v>
      </c>
      <c r="B1054" s="8" t="s">
        <v>26</v>
      </c>
      <c r="C1054" s="8">
        <v>21522.0</v>
      </c>
      <c r="D1054" s="8" t="s">
        <v>69</v>
      </c>
      <c r="F1054" s="8" t="s">
        <v>103</v>
      </c>
      <c r="G1054" s="8">
        <v>3233.0</v>
      </c>
      <c r="H1054" s="8" t="s">
        <v>29</v>
      </c>
      <c r="I1054" s="8" t="s">
        <v>60</v>
      </c>
      <c r="L1054" s="8" t="s">
        <v>37</v>
      </c>
      <c r="P1054" s="9">
        <v>44112.0</v>
      </c>
      <c r="Q1054" s="10">
        <v>0.08333333333575865</v>
      </c>
      <c r="R1054" s="11" t="str">
        <f t="shared" si="1"/>
        <v>Проверка на АОИ PRI</v>
      </c>
      <c r="S1054" s="16" t="str">
        <f>iferror(VLOOKUP(C1054,'ФИО'!A:B,2,0),"учётный код не найден")</f>
        <v>Исаев Никита Дмитриевич</v>
      </c>
      <c r="T1054" s="13" t="str">
        <f t="shared" si="2"/>
        <v>915-00102.A - ПБОК-2В АСЛБ.465285.013 (Квант)</v>
      </c>
      <c r="U1054" s="8">
        <v>41.0</v>
      </c>
      <c r="V1054" s="8">
        <v>0.0</v>
      </c>
      <c r="W1054" s="21" t="str">
        <f t="shared" si="117"/>
        <v>Данные не заполены</v>
      </c>
      <c r="X1054" s="15" t="str">
        <f t="shared" si="114"/>
        <v>Данные не заполены</v>
      </c>
      <c r="Y1054" s="15">
        <f t="shared" si="115"/>
        <v>0</v>
      </c>
    </row>
    <row r="1055" hidden="1">
      <c r="A1055" s="7">
        <v>44120.8278320949</v>
      </c>
      <c r="B1055" s="8" t="s">
        <v>26</v>
      </c>
      <c r="C1055" s="8">
        <v>21522.0</v>
      </c>
      <c r="D1055" s="8" t="s">
        <v>69</v>
      </c>
      <c r="F1055" s="8" t="s">
        <v>103</v>
      </c>
      <c r="G1055" s="8">
        <v>3579.0</v>
      </c>
      <c r="H1055" s="8" t="s">
        <v>29</v>
      </c>
      <c r="I1055" s="8" t="s">
        <v>42</v>
      </c>
      <c r="L1055" s="8" t="s">
        <v>37</v>
      </c>
      <c r="P1055" s="9">
        <v>44120.0</v>
      </c>
      <c r="Q1055" s="10">
        <v>0.08333333333575865</v>
      </c>
      <c r="R1055" s="11" t="str">
        <f t="shared" si="1"/>
        <v>Проверка на АОИ PRI</v>
      </c>
      <c r="S1055" s="16" t="str">
        <f>iferror(VLOOKUP(C1055,'ФИО'!A:B,2,0),"учётный код не найден")</f>
        <v>Исаев Никита Дмитриевич</v>
      </c>
      <c r="T1055" s="13" t="str">
        <f t="shared" si="2"/>
        <v>915-00070.A - Модуль телематики ТМ1 v3 (Сознательные машины)</v>
      </c>
      <c r="U1055" s="8">
        <v>75.0</v>
      </c>
      <c r="V1055" s="8">
        <v>0.0</v>
      </c>
      <c r="W1055" s="17" t="str">
        <f t="shared" si="117"/>
        <v>Данные не заполены</v>
      </c>
      <c r="X1055" s="14" t="str">
        <f t="shared" si="114"/>
        <v>Данные не заполены</v>
      </c>
      <c r="Y1055" s="15">
        <f t="shared" si="115"/>
        <v>0</v>
      </c>
    </row>
    <row r="1056" hidden="1">
      <c r="A1056" s="7">
        <v>44120.8277915625</v>
      </c>
      <c r="B1056" s="8" t="s">
        <v>26</v>
      </c>
      <c r="C1056" s="8">
        <v>21522.0</v>
      </c>
      <c r="D1056" s="8" t="s">
        <v>69</v>
      </c>
      <c r="F1056" s="8" t="s">
        <v>103</v>
      </c>
      <c r="G1056" s="8">
        <v>3750.0</v>
      </c>
      <c r="H1056" s="8" t="s">
        <v>45</v>
      </c>
      <c r="K1056" s="8" t="s">
        <v>46</v>
      </c>
      <c r="L1056" s="8" t="s">
        <v>37</v>
      </c>
      <c r="P1056" s="9">
        <v>44120.0</v>
      </c>
      <c r="Q1056" s="10">
        <v>0.1875</v>
      </c>
      <c r="R1056" s="11" t="str">
        <f t="shared" si="1"/>
        <v>Проверка на АОИ PRI</v>
      </c>
      <c r="S1056" s="16" t="str">
        <f>iferror(VLOOKUP(C1056,'ФИО'!A:B,2,0),"учётный код не найден")</f>
        <v>Исаев Никита Дмитриевич</v>
      </c>
      <c r="T1056" s="13" t="str">
        <f t="shared" si="2"/>
        <v>ПУ 910-00349.A "Печатный узел основного блока E96 4LIN"</v>
      </c>
      <c r="U1056" s="8">
        <v>556.0</v>
      </c>
      <c r="V1056" s="8">
        <v>0.0</v>
      </c>
      <c r="W1056" s="17" t="str">
        <f t="shared" si="117"/>
        <v>Данные не заполены</v>
      </c>
      <c r="X1056" s="14" t="str">
        <f t="shared" si="114"/>
        <v>Данные не заполены</v>
      </c>
      <c r="Y1056" s="15">
        <f t="shared" si="115"/>
        <v>0</v>
      </c>
    </row>
    <row r="1057" hidden="1">
      <c r="A1057" s="7">
        <v>44121.81717418981</v>
      </c>
      <c r="B1057" s="8" t="s">
        <v>26</v>
      </c>
      <c r="C1057" s="8">
        <v>21522.0</v>
      </c>
      <c r="D1057" s="8" t="s">
        <v>69</v>
      </c>
      <c r="F1057" s="8" t="s">
        <v>103</v>
      </c>
      <c r="G1057" s="8">
        <v>3579.0</v>
      </c>
      <c r="H1057" s="8" t="s">
        <v>29</v>
      </c>
      <c r="I1057" s="8" t="s">
        <v>42</v>
      </c>
      <c r="L1057" s="8" t="s">
        <v>37</v>
      </c>
      <c r="P1057" s="9">
        <v>44121.0</v>
      </c>
      <c r="Q1057" s="10">
        <v>0.08333333333575865</v>
      </c>
      <c r="R1057" s="11" t="str">
        <f t="shared" si="1"/>
        <v>Проверка на АОИ PRI</v>
      </c>
      <c r="S1057" s="16" t="str">
        <f>iferror(VLOOKUP(C1057,'ФИО'!A:B,2,0),"учётный код не найден")</f>
        <v>Исаев Никита Дмитриевич</v>
      </c>
      <c r="T1057" s="13" t="str">
        <f t="shared" si="2"/>
        <v>915-00070.A - Модуль телематики ТМ1 v3 (Сознательные машины)</v>
      </c>
      <c r="U1057" s="8">
        <v>39.0</v>
      </c>
      <c r="V1057" s="8">
        <v>210.0</v>
      </c>
      <c r="W1057" s="17" t="str">
        <f t="shared" si="117"/>
        <v>Данные не заполены</v>
      </c>
      <c r="X1057" s="14" t="str">
        <f t="shared" si="114"/>
        <v>Данные не заполены</v>
      </c>
      <c r="Y1057" s="15">
        <f t="shared" si="115"/>
        <v>5.384615385</v>
      </c>
      <c r="Z1057" s="8" t="s">
        <v>257</v>
      </c>
    </row>
    <row r="1058" hidden="1">
      <c r="A1058" s="7">
        <v>44108.33007131945</v>
      </c>
      <c r="B1058" s="8" t="s">
        <v>38</v>
      </c>
      <c r="C1058" s="8">
        <v>21522.0</v>
      </c>
      <c r="D1058" s="8" t="s">
        <v>69</v>
      </c>
      <c r="F1058" s="8" t="s">
        <v>81</v>
      </c>
      <c r="G1058" s="8">
        <v>3047.0</v>
      </c>
      <c r="H1058" s="8" t="s">
        <v>29</v>
      </c>
      <c r="I1058" s="8" t="s">
        <v>77</v>
      </c>
      <c r="L1058" s="8" t="s">
        <v>37</v>
      </c>
      <c r="P1058" s="9">
        <v>44107.0</v>
      </c>
      <c r="Q1058" s="10">
        <v>0.08333333333575865</v>
      </c>
      <c r="R1058" s="11" t="str">
        <f t="shared" si="1"/>
        <v>Проверка на АОИ SEC</v>
      </c>
      <c r="S1058" s="16" t="str">
        <f>iferror(VLOOKUP(C1058,'ФИО'!A:B,2,0),"учётный код не найден")</f>
        <v>Исаев Никита Дмитриевич</v>
      </c>
      <c r="T1058" s="13" t="str">
        <f t="shared" si="2"/>
        <v>915-00081.A-Модуль Трик8 (Кибертех)</v>
      </c>
      <c r="U1058" s="8">
        <v>25.0</v>
      </c>
      <c r="V1058" s="8">
        <v>8.0</v>
      </c>
      <c r="W1058" s="21" t="str">
        <f t="shared" si="117"/>
        <v>Данные не заполены</v>
      </c>
      <c r="X1058" s="15" t="str">
        <f t="shared" si="114"/>
        <v>Данные не заполены</v>
      </c>
      <c r="Y1058" s="15">
        <f t="shared" si="115"/>
        <v>0.32</v>
      </c>
      <c r="Z1058" s="8" t="s">
        <v>214</v>
      </c>
    </row>
    <row r="1059" hidden="1">
      <c r="A1059" s="7">
        <v>44109.33075255787</v>
      </c>
      <c r="B1059" s="8" t="s">
        <v>38</v>
      </c>
      <c r="C1059" s="8">
        <v>21522.0</v>
      </c>
      <c r="D1059" s="8" t="s">
        <v>69</v>
      </c>
      <c r="F1059" s="8" t="s">
        <v>81</v>
      </c>
      <c r="G1059" s="8">
        <v>3047.0</v>
      </c>
      <c r="H1059" s="8" t="s">
        <v>29</v>
      </c>
      <c r="I1059" s="8" t="s">
        <v>77</v>
      </c>
      <c r="L1059" s="8" t="s">
        <v>37</v>
      </c>
      <c r="P1059" s="9">
        <v>44108.0</v>
      </c>
      <c r="Q1059" s="10">
        <v>0.25</v>
      </c>
      <c r="R1059" s="11" t="str">
        <f t="shared" si="1"/>
        <v>Проверка на АОИ SEC</v>
      </c>
      <c r="S1059" s="16" t="str">
        <f>iferror(VLOOKUP(C1059,'ФИО'!A:B,2,0),"учётный код не найден")</f>
        <v>Исаев Никита Дмитриевич</v>
      </c>
      <c r="T1059" s="13" t="str">
        <f t="shared" si="2"/>
        <v>915-00081.A-Модуль Трик8 (Кибертех)</v>
      </c>
      <c r="U1059" s="8">
        <v>72.0</v>
      </c>
      <c r="V1059" s="8">
        <v>0.0</v>
      </c>
      <c r="W1059" s="21" t="str">
        <f t="shared" si="117"/>
        <v>Данные не заполены</v>
      </c>
      <c r="X1059" s="15" t="str">
        <f t="shared" si="114"/>
        <v>Данные не заполены</v>
      </c>
      <c r="Y1059" s="15">
        <f t="shared" si="115"/>
        <v>0</v>
      </c>
    </row>
    <row r="1060" hidden="1">
      <c r="A1060" s="7">
        <v>44120.82781440973</v>
      </c>
      <c r="B1060" s="8" t="s">
        <v>26</v>
      </c>
      <c r="C1060" s="8">
        <v>21522.0</v>
      </c>
      <c r="D1060" s="8" t="s">
        <v>27</v>
      </c>
      <c r="E1060" s="8" t="s">
        <v>68</v>
      </c>
      <c r="L1060" s="8" t="s">
        <v>31</v>
      </c>
      <c r="M1060" s="8" t="s">
        <v>34</v>
      </c>
      <c r="P1060" s="9">
        <v>44120.0</v>
      </c>
      <c r="Q1060" s="10">
        <v>0.08333333333575865</v>
      </c>
      <c r="R1060" s="11" t="str">
        <f t="shared" si="1"/>
        <v>Прохождение обучения</v>
      </c>
      <c r="S1060" s="16" t="str">
        <f>iferror(VLOOKUP(C1060,'ФИО'!A:B,2,0),"учётный код не найден")</f>
        <v>Исаев Никита Дмитриевич</v>
      </c>
      <c r="T1060" s="13" t="str">
        <f t="shared" si="2"/>
        <v/>
      </c>
      <c r="W1060" s="17" t="str">
        <f t="shared" si="117"/>
        <v>Данные не заполены</v>
      </c>
      <c r="X1060" s="14" t="str">
        <f t="shared" si="114"/>
        <v>Данные не заполены</v>
      </c>
      <c r="Y1060" s="15">
        <f t="shared" si="115"/>
        <v>0</v>
      </c>
    </row>
    <row r="1061" hidden="1">
      <c r="A1061" s="7">
        <v>44108.32977082176</v>
      </c>
      <c r="B1061" s="8" t="s">
        <v>38</v>
      </c>
      <c r="C1061" s="8">
        <v>20751.0</v>
      </c>
      <c r="D1061" s="8" t="s">
        <v>27</v>
      </c>
      <c r="E1061" s="8" t="s">
        <v>112</v>
      </c>
      <c r="G1061" s="8">
        <v>3579.0</v>
      </c>
      <c r="H1061" s="8" t="s">
        <v>29</v>
      </c>
      <c r="I1061" s="8" t="s">
        <v>42</v>
      </c>
      <c r="L1061" s="8" t="s">
        <v>31</v>
      </c>
      <c r="M1061" s="8" t="s">
        <v>34</v>
      </c>
      <c r="N1061" s="8"/>
      <c r="O1061" s="8"/>
      <c r="P1061" s="9">
        <v>44107.0</v>
      </c>
      <c r="Q1061" s="10">
        <v>0.008333333331393078</v>
      </c>
      <c r="R1061" s="11" t="str">
        <f t="shared" si="1"/>
        <v>Разрядка питателей Sec</v>
      </c>
      <c r="S1061" s="16" t="str">
        <f>iferror(VLOOKUP(C1061,'ФИО'!A:B,2,0),"учётный код не найден")</f>
        <v>Кезерев Виталий Романович</v>
      </c>
      <c r="T1061" s="13" t="str">
        <f t="shared" si="2"/>
        <v>915-00070.A - Модуль телематики ТМ1 v3 (Сознательные машины)</v>
      </c>
      <c r="U1061" s="8">
        <v>24.0</v>
      </c>
      <c r="V1061" s="8">
        <v>0.0</v>
      </c>
      <c r="W1061" s="21" t="str">
        <f t="shared" si="117"/>
        <v>Данные не заполены</v>
      </c>
      <c r="X1061" s="15" t="str">
        <f t="shared" si="114"/>
        <v>Данные не заполены</v>
      </c>
      <c r="Y1061" s="15">
        <f t="shared" si="115"/>
        <v>0</v>
      </c>
    </row>
    <row r="1062" hidden="1">
      <c r="A1062" s="7">
        <v>44108.33074600695</v>
      </c>
      <c r="B1062" s="8" t="s">
        <v>38</v>
      </c>
      <c r="C1062" s="8">
        <v>20751.0</v>
      </c>
      <c r="D1062" s="8" t="s">
        <v>27</v>
      </c>
      <c r="E1062" s="8" t="s">
        <v>67</v>
      </c>
      <c r="G1062" s="8">
        <v>3706.0</v>
      </c>
      <c r="H1062" s="8" t="s">
        <v>45</v>
      </c>
      <c r="K1062" s="8" t="s">
        <v>91</v>
      </c>
      <c r="L1062" s="8" t="s">
        <v>37</v>
      </c>
      <c r="P1062" s="9">
        <v>44107.0</v>
      </c>
      <c r="Q1062" s="10">
        <v>0.04166666666424135</v>
      </c>
      <c r="R1062" s="11" t="str">
        <f t="shared" si="1"/>
        <v>Сборка на линии Prim</v>
      </c>
      <c r="S1062" s="16" t="str">
        <f>iferror(VLOOKUP(C1062,'ФИО'!A:B,2,0),"учётный код не найден")</f>
        <v>Кезерев Виталий Романович</v>
      </c>
      <c r="T1062" s="13" t="str">
        <f t="shared" si="2"/>
        <v>ПУ Сигма 10/15 910-00080.D</v>
      </c>
      <c r="U1062" s="8">
        <v>0.0</v>
      </c>
      <c r="V1062" s="8">
        <v>0.0</v>
      </c>
      <c r="W1062" s="21" t="str">
        <f t="shared" si="117"/>
        <v>Данные не заполены</v>
      </c>
      <c r="X1062" s="15" t="str">
        <f t="shared" si="114"/>
        <v>Данные не заполены</v>
      </c>
      <c r="Y1062" s="15">
        <f t="shared" si="115"/>
        <v>0</v>
      </c>
    </row>
    <row r="1063" hidden="1">
      <c r="A1063" s="7">
        <v>44109.322684074075</v>
      </c>
      <c r="B1063" s="8" t="s">
        <v>38</v>
      </c>
      <c r="C1063" s="8">
        <v>20751.0</v>
      </c>
      <c r="D1063" s="8" t="s">
        <v>27</v>
      </c>
      <c r="E1063" s="8" t="s">
        <v>67</v>
      </c>
      <c r="G1063" s="8">
        <v>3233.0</v>
      </c>
      <c r="H1063" s="8" t="s">
        <v>29</v>
      </c>
      <c r="I1063" s="8" t="s">
        <v>60</v>
      </c>
      <c r="L1063" s="8" t="s">
        <v>37</v>
      </c>
      <c r="P1063" s="9">
        <v>44108.0</v>
      </c>
      <c r="Q1063" s="10">
        <v>0.13194444444525288</v>
      </c>
      <c r="R1063" s="11" t="str">
        <f t="shared" si="1"/>
        <v>Сборка на линии Prim</v>
      </c>
      <c r="S1063" s="16" t="str">
        <f>iferror(VLOOKUP(C1063,'ФИО'!A:B,2,0),"учётный код не найден")</f>
        <v>Кезерев Виталий Романович</v>
      </c>
      <c r="T1063" s="13" t="str">
        <f t="shared" si="2"/>
        <v>915-00102.A - ПБОК-2В АСЛБ.465285.013 (Квант)</v>
      </c>
      <c r="U1063" s="8">
        <v>0.0</v>
      </c>
      <c r="V1063" s="8">
        <v>0.0</v>
      </c>
      <c r="W1063" s="21" t="str">
        <f t="shared" si="117"/>
        <v>Данные не заполены</v>
      </c>
      <c r="X1063" s="15" t="str">
        <f t="shared" si="114"/>
        <v>Данные не заполены</v>
      </c>
      <c r="Y1063" s="15">
        <f t="shared" si="115"/>
        <v>0</v>
      </c>
    </row>
    <row r="1064" hidden="1">
      <c r="A1064" s="7">
        <v>44116.329296435186</v>
      </c>
      <c r="B1064" s="8" t="s">
        <v>38</v>
      </c>
      <c r="C1064" s="8">
        <v>20751.0</v>
      </c>
      <c r="D1064" s="8" t="s">
        <v>27</v>
      </c>
      <c r="E1064" s="8" t="s">
        <v>67</v>
      </c>
      <c r="G1064" s="8">
        <v>3750.0</v>
      </c>
      <c r="H1064" s="8" t="s">
        <v>45</v>
      </c>
      <c r="K1064" s="8" t="s">
        <v>46</v>
      </c>
      <c r="L1064" s="8" t="s">
        <v>37</v>
      </c>
      <c r="P1064" s="9">
        <v>44115.0</v>
      </c>
      <c r="Q1064" s="10">
        <v>0.04166666666424135</v>
      </c>
      <c r="R1064" s="11" t="str">
        <f t="shared" si="1"/>
        <v>Сборка на линии Prim</v>
      </c>
      <c r="S1064" s="16" t="str">
        <f>iferror(VLOOKUP(C1064,'ФИО'!A:B,2,0),"учётный код не найден")</f>
        <v>Кезерев Виталий Романович</v>
      </c>
      <c r="T1064" s="13" t="str">
        <f t="shared" si="2"/>
        <v>ПУ 910-00349.A "Печатный узел основного блока E96 4LIN"</v>
      </c>
      <c r="U1064" s="8">
        <v>0.0</v>
      </c>
      <c r="V1064" s="8">
        <v>0.0</v>
      </c>
      <c r="W1064" s="21" t="str">
        <f t="shared" si="117"/>
        <v>Данные не заполены</v>
      </c>
      <c r="X1064" s="15" t="str">
        <f t="shared" si="114"/>
        <v>Данные не заполены</v>
      </c>
      <c r="Y1064" s="15">
        <f t="shared" si="115"/>
        <v>0</v>
      </c>
    </row>
    <row r="1065" hidden="1">
      <c r="A1065" s="7">
        <v>44125.31489064815</v>
      </c>
      <c r="B1065" s="8" t="s">
        <v>38</v>
      </c>
      <c r="C1065" s="8">
        <v>21852.0</v>
      </c>
      <c r="D1065" s="8" t="s">
        <v>27</v>
      </c>
      <c r="E1065" s="8" t="s">
        <v>244</v>
      </c>
      <c r="G1065" s="8">
        <v>3754.0</v>
      </c>
      <c r="H1065" s="8" t="s">
        <v>45</v>
      </c>
      <c r="K1065" s="8" t="s">
        <v>124</v>
      </c>
      <c r="L1065" s="8" t="s">
        <v>31</v>
      </c>
      <c r="M1065" s="8" t="s">
        <v>34</v>
      </c>
      <c r="P1065" s="9">
        <v>44124.0</v>
      </c>
      <c r="Q1065" s="10">
        <v>0.45833333333575865</v>
      </c>
      <c r="R1065" s="11" t="str">
        <f t="shared" si="1"/>
        <v>ReviewStation sec</v>
      </c>
      <c r="S1065" s="16" t="str">
        <f>iferror(VLOOKUP(C1065,'ФИО'!A:B,2,0),"учётный код не найден")</f>
        <v>Пономарев Юрий Андреевич</v>
      </c>
      <c r="T1065" s="13" t="str">
        <f t="shared" si="2"/>
        <v>ПУ 910-00120.D - Печатный узел модуля 2CAN+LIN</v>
      </c>
      <c r="U1065" s="8">
        <v>0.0</v>
      </c>
      <c r="V1065" s="8">
        <v>2916.0</v>
      </c>
      <c r="X1065" s="14" t="str">
        <f t="shared" si="114"/>
        <v>Данные не заполены</v>
      </c>
      <c r="Y1065" s="15">
        <f t="shared" si="115"/>
        <v>2916</v>
      </c>
      <c r="Z1065" s="8" t="s">
        <v>64</v>
      </c>
    </row>
    <row r="1066" hidden="1">
      <c r="A1066" s="7">
        <v>44121.82159199074</v>
      </c>
      <c r="B1066" s="8" t="s">
        <v>26</v>
      </c>
      <c r="C1066" s="8">
        <v>22087.0</v>
      </c>
      <c r="D1066" s="8" t="s">
        <v>27</v>
      </c>
      <c r="E1066" s="8" t="s">
        <v>100</v>
      </c>
      <c r="G1066" s="8">
        <v>3649.0</v>
      </c>
      <c r="H1066" s="8" t="s">
        <v>29</v>
      </c>
      <c r="I1066" s="8" t="s">
        <v>33</v>
      </c>
      <c r="L1066" s="8" t="s">
        <v>37</v>
      </c>
      <c r="P1066" s="9">
        <v>44121.0</v>
      </c>
      <c r="Q1066" s="10">
        <v>0.03125</v>
      </c>
      <c r="R1066" s="11" t="str">
        <f t="shared" si="1"/>
        <v>Проверка плат на АОИ Sec</v>
      </c>
      <c r="S1066" s="16" t="str">
        <f>iferror(VLOOKUP(C1066,'ФИО'!A:B,2,0),"учётный код не найден")</f>
        <v>Хохряков Илья Александрович</v>
      </c>
      <c r="T1066" s="13" t="str">
        <f t="shared" si="2"/>
        <v>ssfp2.2 (Метротек)</v>
      </c>
      <c r="U1066" s="8">
        <v>13.0</v>
      </c>
      <c r="V1066" s="8">
        <v>7.0</v>
      </c>
      <c r="W1066" s="17" t="str">
        <f t="shared" ref="W1066:W1072" si="118">IFERROR((((38412/(ifs(O1066&lt;35,35,O1066&gt;34,O1066)/N1066)*0.7))),"Данные не заполены")</f>
        <v>Данные не заполены</v>
      </c>
      <c r="X1066" s="14" t="str">
        <f t="shared" si="114"/>
        <v>Данные не заполены</v>
      </c>
      <c r="Y1066" s="15">
        <f t="shared" si="115"/>
        <v>0.5384615385</v>
      </c>
      <c r="Z1066" s="8" t="s">
        <v>232</v>
      </c>
    </row>
    <row r="1067" hidden="1">
      <c r="A1067" s="7">
        <v>44105.82409976852</v>
      </c>
      <c r="B1067" s="8" t="s">
        <v>26</v>
      </c>
      <c r="C1067" s="8">
        <v>22087.0</v>
      </c>
      <c r="D1067" s="18" t="s">
        <v>27</v>
      </c>
      <c r="E1067" s="8" t="s">
        <v>258</v>
      </c>
      <c r="G1067" s="18">
        <v>3579.0</v>
      </c>
      <c r="H1067" s="8" t="s">
        <v>29</v>
      </c>
      <c r="I1067" s="8" t="s">
        <v>42</v>
      </c>
      <c r="L1067" s="18" t="s">
        <v>31</v>
      </c>
      <c r="M1067" s="8" t="s">
        <v>34</v>
      </c>
      <c r="N1067" s="8"/>
      <c r="O1067" s="8"/>
      <c r="P1067" s="19">
        <v>44105.0</v>
      </c>
      <c r="Q1067" s="20">
        <v>0.0625</v>
      </c>
      <c r="R1067" s="11" t="str">
        <f t="shared" si="1"/>
        <v>Проверка программы на АОИ</v>
      </c>
      <c r="S1067" s="16" t="str">
        <f>iferror(VLOOKUP(C1067,'ФИО'!A:B,2,0),"учётный код не найден")</f>
        <v>Хохряков Илья Александрович</v>
      </c>
      <c r="T1067" s="13" t="str">
        <f t="shared" si="2"/>
        <v>915-00070.A - Модуль телематики ТМ1 v3 (Сознательные машины)</v>
      </c>
      <c r="U1067" s="8">
        <v>0.0</v>
      </c>
      <c r="V1067" s="8">
        <v>0.0</v>
      </c>
      <c r="W1067" s="21" t="str">
        <f t="shared" si="118"/>
        <v>Данные не заполены</v>
      </c>
      <c r="X1067" s="15" t="str">
        <f t="shared" si="114"/>
        <v>Данные не заполены</v>
      </c>
      <c r="Y1067" s="15">
        <f t="shared" si="115"/>
        <v>0</v>
      </c>
    </row>
    <row r="1068" hidden="1">
      <c r="A1068" s="7">
        <v>44108.31871917824</v>
      </c>
      <c r="B1068" s="8" t="s">
        <v>38</v>
      </c>
      <c r="C1068" s="8">
        <v>22087.0</v>
      </c>
      <c r="D1068" s="8" t="s">
        <v>27</v>
      </c>
      <c r="E1068" s="8" t="s">
        <v>258</v>
      </c>
      <c r="G1068" s="8">
        <v>3706.0</v>
      </c>
      <c r="H1068" s="8" t="s">
        <v>45</v>
      </c>
      <c r="K1068" s="8" t="s">
        <v>91</v>
      </c>
      <c r="L1068" s="8" t="s">
        <v>31</v>
      </c>
      <c r="M1068" s="8" t="s">
        <v>34</v>
      </c>
      <c r="N1068" s="8"/>
      <c r="O1068" s="8"/>
      <c r="P1068" s="9">
        <v>44107.0</v>
      </c>
      <c r="Q1068" s="10">
        <v>0.08333333333575865</v>
      </c>
      <c r="R1068" s="11" t="str">
        <f t="shared" si="1"/>
        <v>Проверка программы на АОИ</v>
      </c>
      <c r="S1068" s="16" t="str">
        <f>iferror(VLOOKUP(C1068,'ФИО'!A:B,2,0),"учётный код не найден")</f>
        <v>Хохряков Илья Александрович</v>
      </c>
      <c r="T1068" s="13" t="str">
        <f t="shared" si="2"/>
        <v>ПУ Сигма 10/15 910-00080.D</v>
      </c>
      <c r="U1068" s="8">
        <v>0.0</v>
      </c>
      <c r="V1068" s="8">
        <v>0.0</v>
      </c>
      <c r="W1068" s="21" t="str">
        <f t="shared" si="118"/>
        <v>Данные не заполены</v>
      </c>
      <c r="X1068" s="15" t="str">
        <f t="shared" si="114"/>
        <v>Данные не заполены</v>
      </c>
      <c r="Y1068" s="15">
        <f t="shared" si="115"/>
        <v>0</v>
      </c>
    </row>
    <row r="1069" hidden="1">
      <c r="A1069" s="7">
        <v>44109.32802244213</v>
      </c>
      <c r="B1069" s="8" t="s">
        <v>38</v>
      </c>
      <c r="C1069" s="8">
        <v>22087.0</v>
      </c>
      <c r="D1069" s="8" t="s">
        <v>27</v>
      </c>
      <c r="E1069" s="8" t="s">
        <v>195</v>
      </c>
      <c r="G1069" s="8">
        <v>3233.0</v>
      </c>
      <c r="H1069" s="8" t="s">
        <v>29</v>
      </c>
      <c r="I1069" s="8" t="s">
        <v>60</v>
      </c>
      <c r="L1069" s="8" t="s">
        <v>31</v>
      </c>
      <c r="M1069" s="8" t="s">
        <v>34</v>
      </c>
      <c r="N1069" s="8"/>
      <c r="O1069" s="8"/>
      <c r="P1069" s="9">
        <v>44108.0</v>
      </c>
      <c r="Q1069" s="10">
        <v>0.08333333333575865</v>
      </c>
      <c r="R1069" s="11" t="str">
        <f t="shared" si="1"/>
        <v>Проверка программы на АОИ PRI</v>
      </c>
      <c r="S1069" s="16" t="str">
        <f>iferror(VLOOKUP(C1069,'ФИО'!A:B,2,0),"учётный код не найден")</f>
        <v>Хохряков Илья Александрович</v>
      </c>
      <c r="T1069" s="13" t="str">
        <f t="shared" si="2"/>
        <v>915-00102.A - ПБОК-2В АСЛБ.465285.013 (Квант)</v>
      </c>
      <c r="U1069" s="8">
        <v>0.0</v>
      </c>
      <c r="V1069" s="8">
        <v>0.0</v>
      </c>
      <c r="W1069" s="21" t="str">
        <f t="shared" si="118"/>
        <v>Данные не заполены</v>
      </c>
      <c r="X1069" s="15" t="str">
        <f t="shared" si="114"/>
        <v>Данные не заполены</v>
      </c>
      <c r="Y1069" s="15">
        <f t="shared" si="115"/>
        <v>0</v>
      </c>
    </row>
    <row r="1070" hidden="1">
      <c r="A1070" s="7">
        <v>44117.328309375</v>
      </c>
      <c r="B1070" s="8" t="s">
        <v>38</v>
      </c>
      <c r="C1070" s="8">
        <v>22087.0</v>
      </c>
      <c r="D1070" s="8" t="s">
        <v>27</v>
      </c>
      <c r="E1070" s="8" t="s">
        <v>195</v>
      </c>
      <c r="G1070" s="8">
        <v>3238.0</v>
      </c>
      <c r="H1070" s="8" t="s">
        <v>29</v>
      </c>
      <c r="I1070" s="8" t="s">
        <v>43</v>
      </c>
      <c r="L1070" s="8" t="s">
        <v>31</v>
      </c>
      <c r="M1070" s="8" t="s">
        <v>34</v>
      </c>
      <c r="N1070" s="8"/>
      <c r="O1070" s="8"/>
      <c r="P1070" s="9">
        <v>44116.0</v>
      </c>
      <c r="Q1070" s="10">
        <v>0.0625</v>
      </c>
      <c r="R1070" s="11" t="str">
        <f t="shared" si="1"/>
        <v>Проверка программы на АОИ PRI</v>
      </c>
      <c r="S1070" s="16" t="str">
        <f>iferror(VLOOKUP(C1070,'ФИО'!A:B,2,0),"учётный код не найден")</f>
        <v>Хохряков Илья Александрович</v>
      </c>
      <c r="T1070" s="13" t="str">
        <f t="shared" si="2"/>
        <v>915-00097.A - ПКД-8В-3 АСЛБ.467249.110 (Квант)</v>
      </c>
      <c r="U1070" s="8">
        <v>0.0</v>
      </c>
      <c r="V1070" s="8">
        <v>0.0</v>
      </c>
      <c r="W1070" s="21" t="str">
        <f t="shared" si="118"/>
        <v>Данные не заполены</v>
      </c>
      <c r="X1070" s="15" t="str">
        <f t="shared" si="114"/>
        <v>Данные не заполены</v>
      </c>
      <c r="Y1070" s="15">
        <f t="shared" si="115"/>
        <v>0</v>
      </c>
    </row>
    <row r="1071" hidden="1">
      <c r="A1071" s="7">
        <v>44108.322155428235</v>
      </c>
      <c r="B1071" s="8" t="s">
        <v>38</v>
      </c>
      <c r="C1071" s="8">
        <v>22087.0</v>
      </c>
      <c r="D1071" s="8" t="s">
        <v>27</v>
      </c>
      <c r="E1071" s="8" t="s">
        <v>259</v>
      </c>
      <c r="G1071" s="8">
        <v>3706.0</v>
      </c>
      <c r="H1071" s="8" t="s">
        <v>45</v>
      </c>
      <c r="K1071" s="8" t="s">
        <v>91</v>
      </c>
      <c r="L1071" s="8" t="s">
        <v>31</v>
      </c>
      <c r="M1071" s="8" t="s">
        <v>34</v>
      </c>
      <c r="N1071" s="8"/>
      <c r="O1071" s="8"/>
      <c r="P1071" s="9">
        <v>44107.0</v>
      </c>
      <c r="Q1071" s="10">
        <v>0.08333333333575865</v>
      </c>
      <c r="R1071" s="11" t="str">
        <f t="shared" si="1"/>
        <v>Проверка программы на АОИ SEC</v>
      </c>
      <c r="S1071" s="16" t="str">
        <f>iferror(VLOOKUP(C1071,'ФИО'!A:B,2,0),"учётный код не найден")</f>
        <v>Хохряков Илья Александрович</v>
      </c>
      <c r="T1071" s="13" t="str">
        <f t="shared" si="2"/>
        <v>ПУ Сигма 10/15 910-00080.D</v>
      </c>
      <c r="U1071" s="8">
        <v>0.0</v>
      </c>
      <c r="V1071" s="8">
        <v>0.0</v>
      </c>
      <c r="W1071" s="21" t="str">
        <f t="shared" si="118"/>
        <v>Данные не заполены</v>
      </c>
      <c r="X1071" s="15" t="str">
        <f t="shared" si="114"/>
        <v>Данные не заполены</v>
      </c>
      <c r="Y1071" s="15">
        <f t="shared" si="115"/>
        <v>0</v>
      </c>
    </row>
    <row r="1072" hidden="1">
      <c r="A1072" s="7">
        <v>44117.33276981481</v>
      </c>
      <c r="B1072" s="8" t="s">
        <v>38</v>
      </c>
      <c r="C1072" s="8">
        <v>22087.0</v>
      </c>
      <c r="D1072" s="8" t="s">
        <v>27</v>
      </c>
      <c r="E1072" s="8" t="s">
        <v>160</v>
      </c>
      <c r="G1072" s="8">
        <v>3238.0</v>
      </c>
      <c r="H1072" s="8" t="s">
        <v>29</v>
      </c>
      <c r="I1072" s="8" t="s">
        <v>90</v>
      </c>
      <c r="L1072" s="8" t="s">
        <v>31</v>
      </c>
      <c r="M1072" s="25" t="s">
        <v>260</v>
      </c>
      <c r="N1072" s="8"/>
      <c r="O1072" s="8"/>
      <c r="P1072" s="9">
        <v>44116.0</v>
      </c>
      <c r="Q1072" s="10">
        <v>0.13541666666424135</v>
      </c>
      <c r="R1072" s="11" t="str">
        <f t="shared" si="1"/>
        <v>Проверка программы установщиков</v>
      </c>
      <c r="S1072" s="16" t="str">
        <f>iferror(VLOOKUP(C1072,'ФИО'!A:B,2,0),"учётный код не найден")</f>
        <v>Хохряков Илья Александрович</v>
      </c>
      <c r="T1072" s="13" t="str">
        <f t="shared" si="2"/>
        <v>915-00124.A - Tioga Pass_v1.1 (Гагар.ин)</v>
      </c>
      <c r="U1072" s="8">
        <v>0.0</v>
      </c>
      <c r="V1072" s="8">
        <v>0.0</v>
      </c>
      <c r="W1072" s="21" t="str">
        <f t="shared" si="118"/>
        <v>Данные не заполены</v>
      </c>
      <c r="X1072" s="15" t="str">
        <f t="shared" si="114"/>
        <v>Данные не заполены</v>
      </c>
      <c r="Y1072" s="15">
        <f t="shared" si="115"/>
        <v>0</v>
      </c>
    </row>
    <row r="1073" hidden="1">
      <c r="A1073" s="7">
        <v>44133.31239287037</v>
      </c>
      <c r="B1073" s="8" t="s">
        <v>38</v>
      </c>
      <c r="C1073" s="8">
        <v>22087.0</v>
      </c>
      <c r="D1073" s="8" t="s">
        <v>27</v>
      </c>
      <c r="E1073" s="8" t="s">
        <v>160</v>
      </c>
      <c r="G1073" s="8">
        <v>3802.0</v>
      </c>
      <c r="H1073" s="8" t="s">
        <v>45</v>
      </c>
      <c r="K1073" s="8" t="s">
        <v>120</v>
      </c>
      <c r="L1073" s="8" t="s">
        <v>31</v>
      </c>
      <c r="M1073" s="8" t="s">
        <v>34</v>
      </c>
      <c r="P1073" s="9">
        <v>44132.0</v>
      </c>
      <c r="Q1073" s="10">
        <v>0.125</v>
      </c>
      <c r="R1073" s="11" t="str">
        <f t="shared" si="1"/>
        <v>Проверка программы установщиков</v>
      </c>
      <c r="S1073" s="12" t="str">
        <f>iferror(VLOOKUP(C1073,'ФИО'!A:B,2,0),"учётный код не найден")</f>
        <v>Хохряков Илья Александрович</v>
      </c>
      <c r="T1073" s="13" t="str">
        <f t="shared" si="2"/>
        <v>М15ECO (900-00030.С) 910-00034.C/910-00041.C</v>
      </c>
      <c r="U1073" s="8">
        <v>0.0</v>
      </c>
      <c r="V1073" s="8">
        <v>0.0</v>
      </c>
      <c r="X1073" s="14" t="str">
        <f t="shared" si="114"/>
        <v>Данные не заполены</v>
      </c>
      <c r="Y1073" s="15">
        <f t="shared" si="115"/>
        <v>0</v>
      </c>
    </row>
    <row r="1074" hidden="1">
      <c r="A1074" s="7">
        <v>44125.32586361111</v>
      </c>
      <c r="B1074" s="8" t="s">
        <v>38</v>
      </c>
      <c r="C1074" s="8">
        <v>50000.0</v>
      </c>
      <c r="D1074" s="8" t="s">
        <v>27</v>
      </c>
      <c r="E1074" s="8" t="s">
        <v>67</v>
      </c>
      <c r="G1074" s="8">
        <v>3804.0</v>
      </c>
      <c r="H1074" s="8" t="s">
        <v>45</v>
      </c>
      <c r="K1074" s="8" t="s">
        <v>52</v>
      </c>
      <c r="L1074" s="8" t="s">
        <v>37</v>
      </c>
      <c r="P1074" s="9">
        <v>44124.0</v>
      </c>
      <c r="Q1074" s="10">
        <v>0.0</v>
      </c>
      <c r="R1074" s="11" t="str">
        <f t="shared" si="1"/>
        <v>Сборка на линии Prim</v>
      </c>
      <c r="S1074" s="16" t="str">
        <f>iferror(VLOOKUP(C1074,'ФИО'!A:B,2,0),"учётный код не найден")</f>
        <v>SMT</v>
      </c>
      <c r="T1074" s="13" t="str">
        <f t="shared" si="2"/>
        <v>М17V2 (900-00018.D)_910-00023.H и ПУ 910-00012.I</v>
      </c>
      <c r="U1074" s="8">
        <v>40.0</v>
      </c>
      <c r="V1074" s="8">
        <v>0.0</v>
      </c>
      <c r="X1074" s="14" t="str">
        <f t="shared" si="114"/>
        <v>Данные не заполены</v>
      </c>
      <c r="Y1074" s="15">
        <f t="shared" si="115"/>
        <v>0</v>
      </c>
    </row>
    <row r="1075" hidden="1">
      <c r="A1075" s="7">
        <v>44125.32623604167</v>
      </c>
      <c r="B1075" s="8" t="s">
        <v>38</v>
      </c>
      <c r="C1075" s="8">
        <v>50000.0</v>
      </c>
      <c r="D1075" s="8" t="s">
        <v>27</v>
      </c>
      <c r="E1075" s="8" t="s">
        <v>88</v>
      </c>
      <c r="G1075" s="8">
        <v>3804.0</v>
      </c>
      <c r="H1075" s="8" t="s">
        <v>45</v>
      </c>
      <c r="K1075" s="8" t="s">
        <v>52</v>
      </c>
      <c r="L1075" s="8" t="s">
        <v>37</v>
      </c>
      <c r="P1075" s="9">
        <v>44124.0</v>
      </c>
      <c r="Q1075" s="10">
        <v>0.0</v>
      </c>
      <c r="R1075" s="11" t="str">
        <f t="shared" si="1"/>
        <v>Сборка на линии Sec</v>
      </c>
      <c r="S1075" s="16" t="str">
        <f>iferror(VLOOKUP(C1075,'ФИО'!A:B,2,0),"учётный код не найден")</f>
        <v>SMT</v>
      </c>
      <c r="T1075" s="13" t="str">
        <f t="shared" si="2"/>
        <v>М17V2 (900-00018.D)_910-00023.H и ПУ 910-00012.I</v>
      </c>
      <c r="U1075" s="8">
        <v>60.0</v>
      </c>
      <c r="V1075" s="8">
        <v>0.0</v>
      </c>
      <c r="X1075" s="14" t="str">
        <f t="shared" si="114"/>
        <v>Данные не заполены</v>
      </c>
      <c r="Y1075" s="15">
        <f t="shared" si="115"/>
        <v>0</v>
      </c>
    </row>
    <row r="1076" hidden="1">
      <c r="A1076" s="7">
        <v>44125.327249988426</v>
      </c>
      <c r="B1076" s="8" t="s">
        <v>38</v>
      </c>
      <c r="C1076" s="8">
        <v>60000.0</v>
      </c>
      <c r="D1076" s="8" t="s">
        <v>69</v>
      </c>
      <c r="F1076" s="8" t="s">
        <v>72</v>
      </c>
      <c r="G1076" s="8">
        <v>3253.0</v>
      </c>
      <c r="H1076" s="8" t="s">
        <v>29</v>
      </c>
      <c r="I1076" s="8" t="s">
        <v>95</v>
      </c>
      <c r="L1076" s="8" t="s">
        <v>37</v>
      </c>
      <c r="P1076" s="9">
        <v>44124.0</v>
      </c>
      <c r="Q1076" s="10">
        <v>0.0</v>
      </c>
      <c r="R1076" s="11" t="str">
        <f t="shared" si="1"/>
        <v>Пайка компонентов PRI</v>
      </c>
      <c r="S1076" s="12" t="str">
        <f>iferror(VLOOKUP(C1076,'ФИО'!A:B,2,0),"учётный код не найден")</f>
        <v>THT</v>
      </c>
      <c r="T1076" s="13" t="str">
        <f t="shared" si="2"/>
        <v>915-00095.A - ПКД-8В-1 АСЛБ.467249.108 (Квант)</v>
      </c>
      <c r="U1076" s="8">
        <v>4.0</v>
      </c>
      <c r="V1076" s="8">
        <v>0.0</v>
      </c>
      <c r="X1076" s="14" t="str">
        <f t="shared" si="114"/>
        <v>Данные не заполены</v>
      </c>
      <c r="Y1076" s="15">
        <f t="shared" si="115"/>
        <v>0</v>
      </c>
    </row>
    <row r="1077" hidden="1">
      <c r="A1077" s="7">
        <v>44125.80490256945</v>
      </c>
      <c r="B1077" s="8" t="s">
        <v>127</v>
      </c>
      <c r="C1077" s="8">
        <v>21171.0</v>
      </c>
      <c r="D1077" s="8" t="s">
        <v>27</v>
      </c>
      <c r="E1077" s="8" t="s">
        <v>123</v>
      </c>
      <c r="G1077" s="8">
        <v>3253.0</v>
      </c>
      <c r="H1077" s="8" t="s">
        <v>29</v>
      </c>
      <c r="I1077" s="8" t="s">
        <v>95</v>
      </c>
      <c r="L1077" s="8" t="s">
        <v>31</v>
      </c>
      <c r="M1077" s="8" t="s">
        <v>34</v>
      </c>
      <c r="P1077" s="9">
        <v>44125.0</v>
      </c>
      <c r="Q1077" s="10">
        <v>0.0625</v>
      </c>
      <c r="R1077" s="11" t="str">
        <f t="shared" si="1"/>
        <v>Настойка первой платы на АОИ PRI</v>
      </c>
      <c r="S1077" s="16" t="str">
        <f>iferror(VLOOKUP(C1077,'ФИО'!A:B,2,0),"учётный код не найден")</f>
        <v>Муртищева Ольга Валентиновна</v>
      </c>
      <c r="T1077" s="11" t="str">
        <f t="shared" si="2"/>
        <v>915-00095.A - ПКД-8В-1 АСЛБ.467249.108 (Квант)</v>
      </c>
      <c r="U1077" s="8">
        <v>0.0</v>
      </c>
      <c r="V1077" s="8">
        <v>0.0</v>
      </c>
      <c r="W1077" s="17" t="str">
        <f t="shared" ref="W1077:W1102" si="119">IFERROR((((38412/(ifs(O1077&lt;35,35,O1077&gt;34,O1077)/N1077)*0.7))),"Данные не заполены")</f>
        <v>Данные не заполены</v>
      </c>
      <c r="X1077" s="14" t="str">
        <f t="shared" si="114"/>
        <v>Данные не заполены</v>
      </c>
      <c r="Y1077" s="15">
        <f t="shared" si="115"/>
        <v>0</v>
      </c>
    </row>
    <row r="1078" hidden="1">
      <c r="A1078" s="7">
        <v>44132.82596869213</v>
      </c>
      <c r="B1078" s="8" t="s">
        <v>127</v>
      </c>
      <c r="C1078" s="8">
        <v>21171.0</v>
      </c>
      <c r="D1078" s="8" t="s">
        <v>27</v>
      </c>
      <c r="E1078" s="8" t="s">
        <v>123</v>
      </c>
      <c r="G1078" s="8">
        <v>3237.0</v>
      </c>
      <c r="H1078" s="8" t="s">
        <v>29</v>
      </c>
      <c r="I1078" s="8" t="s">
        <v>56</v>
      </c>
      <c r="L1078" s="8" t="s">
        <v>37</v>
      </c>
      <c r="P1078" s="9">
        <v>44132.0</v>
      </c>
      <c r="Q1078" s="10">
        <v>0.07291666666424135</v>
      </c>
      <c r="R1078" s="11" t="str">
        <f t="shared" si="1"/>
        <v>Настойка первой платы на АОИ PRI</v>
      </c>
      <c r="S1078" s="16" t="str">
        <f>iferror(VLOOKUP(C1078,'ФИО'!A:B,2,0),"учётный код не найден")</f>
        <v>Муртищева Ольга Валентиновна</v>
      </c>
      <c r="T1078" s="11" t="str">
        <f t="shared" si="2"/>
        <v>915-00098.А - ПКБУИК-38 АСЛБ.465122.020 (Квант)</v>
      </c>
      <c r="U1078" s="8">
        <v>0.0</v>
      </c>
      <c r="V1078" s="8">
        <v>0.0</v>
      </c>
      <c r="W1078" s="17" t="str">
        <f t="shared" si="119"/>
        <v>Данные не заполены</v>
      </c>
      <c r="X1078" s="14" t="str">
        <f t="shared" si="114"/>
        <v>Данные не заполены</v>
      </c>
      <c r="Y1078" s="15">
        <f t="shared" si="115"/>
        <v>0</v>
      </c>
    </row>
    <row r="1079" hidden="1">
      <c r="A1079" s="7">
        <v>44133.832857002315</v>
      </c>
      <c r="B1079" s="8" t="s">
        <v>127</v>
      </c>
      <c r="C1079" s="8">
        <v>21171.0</v>
      </c>
      <c r="D1079" s="8" t="s">
        <v>27</v>
      </c>
      <c r="E1079" s="8" t="s">
        <v>123</v>
      </c>
      <c r="G1079" s="8">
        <v>3802.0</v>
      </c>
      <c r="H1079" s="8" t="s">
        <v>45</v>
      </c>
      <c r="K1079" s="8" t="s">
        <v>120</v>
      </c>
      <c r="L1079" s="8" t="s">
        <v>37</v>
      </c>
      <c r="P1079" s="9">
        <v>44133.0</v>
      </c>
      <c r="Q1079" s="10">
        <v>0.04166666666424135</v>
      </c>
      <c r="R1079" s="11" t="str">
        <f t="shared" si="1"/>
        <v>Настойка первой платы на АОИ PRI</v>
      </c>
      <c r="S1079" s="16" t="str">
        <f>iferror(VLOOKUP(C1079,'ФИО'!A:B,2,0),"учётный код не найден")</f>
        <v>Муртищева Ольга Валентиновна</v>
      </c>
      <c r="T1079" s="11" t="str">
        <f t="shared" si="2"/>
        <v>М15ECO (900-00030.С) 910-00034.C/910-00041.C</v>
      </c>
      <c r="U1079" s="8">
        <v>0.0</v>
      </c>
      <c r="V1079" s="8">
        <v>0.0</v>
      </c>
      <c r="W1079" s="17" t="str">
        <f t="shared" si="119"/>
        <v>Данные не заполены</v>
      </c>
      <c r="X1079" s="14" t="str">
        <f t="shared" si="114"/>
        <v>Данные не заполены</v>
      </c>
      <c r="Y1079" s="15">
        <f t="shared" si="115"/>
        <v>0</v>
      </c>
    </row>
    <row r="1080" hidden="1">
      <c r="A1080" s="7">
        <v>44113.30402851852</v>
      </c>
      <c r="B1080" s="8" t="s">
        <v>126</v>
      </c>
      <c r="C1080" s="8">
        <v>21171.0</v>
      </c>
      <c r="D1080" s="8" t="s">
        <v>27</v>
      </c>
      <c r="E1080" s="8" t="s">
        <v>97</v>
      </c>
      <c r="G1080" s="8">
        <v>3580.0</v>
      </c>
      <c r="H1080" s="8" t="s">
        <v>29</v>
      </c>
      <c r="I1080" s="8" t="s">
        <v>145</v>
      </c>
      <c r="L1080" s="8" t="s">
        <v>37</v>
      </c>
      <c r="P1080" s="9">
        <v>44111.0</v>
      </c>
      <c r="Q1080" s="10">
        <v>0.020833333335758653</v>
      </c>
      <c r="R1080" s="11" t="str">
        <f t="shared" si="1"/>
        <v>Проверка плат на АОИ Prim</v>
      </c>
      <c r="S1080" s="16" t="str">
        <f>iferror(VLOOKUP(C1080,'ФИО'!A:B,2,0),"учётный код не найден")</f>
        <v>Муртищева Ольга Валентиновна</v>
      </c>
      <c r="T1080" s="13" t="str">
        <f t="shared" si="2"/>
        <v>XR (OÜ KLARBERG)</v>
      </c>
      <c r="U1080" s="8">
        <v>0.0</v>
      </c>
      <c r="V1080" s="8">
        <v>0.0</v>
      </c>
      <c r="W1080" s="21" t="str">
        <f t="shared" si="119"/>
        <v>Данные не заполены</v>
      </c>
      <c r="X1080" s="15" t="str">
        <f t="shared" si="114"/>
        <v>Данные не заполены</v>
      </c>
      <c r="Y1080" s="15">
        <f t="shared" si="115"/>
        <v>0</v>
      </c>
    </row>
    <row r="1081" hidden="1">
      <c r="A1081" s="7">
        <v>44112.87544427083</v>
      </c>
      <c r="B1081" s="8" t="s">
        <v>126</v>
      </c>
      <c r="C1081" s="8">
        <v>21927.0</v>
      </c>
      <c r="D1081" s="8" t="s">
        <v>27</v>
      </c>
      <c r="E1081" s="8" t="s">
        <v>97</v>
      </c>
      <c r="G1081" s="8">
        <v>3580.0</v>
      </c>
      <c r="H1081" s="8" t="s">
        <v>29</v>
      </c>
      <c r="I1081" s="8" t="s">
        <v>146</v>
      </c>
      <c r="L1081" s="8" t="s">
        <v>37</v>
      </c>
      <c r="P1081" s="9">
        <v>44111.0</v>
      </c>
      <c r="Q1081" s="10">
        <v>0.25</v>
      </c>
      <c r="R1081" s="11" t="str">
        <f t="shared" si="1"/>
        <v>Проверка плат на АОИ Prim</v>
      </c>
      <c r="S1081" s="16" t="str">
        <f>iferror(VLOOKUP(C1081,'ФИО'!A:B,2,0),"учётный код не найден")</f>
        <v>Шергин Родион Олегович</v>
      </c>
      <c r="T1081" s="13" t="str">
        <f t="shared" si="2"/>
        <v>XR (Термотроник)</v>
      </c>
      <c r="U1081" s="8">
        <v>261.0</v>
      </c>
      <c r="V1081" s="8">
        <v>749.0</v>
      </c>
      <c r="W1081" s="21" t="str">
        <f t="shared" si="119"/>
        <v>Данные не заполены</v>
      </c>
      <c r="X1081" s="15" t="str">
        <f t="shared" si="114"/>
        <v>Данные не заполены</v>
      </c>
      <c r="Y1081" s="15">
        <f t="shared" si="115"/>
        <v>2.869731801</v>
      </c>
    </row>
    <row r="1082" hidden="1">
      <c r="A1082" s="7">
        <v>44109.34591506944</v>
      </c>
      <c r="B1082" s="8" t="s">
        <v>127</v>
      </c>
      <c r="C1082" s="8">
        <v>21171.0</v>
      </c>
      <c r="D1082" s="8" t="s">
        <v>27</v>
      </c>
      <c r="E1082" s="8" t="s">
        <v>125</v>
      </c>
      <c r="G1082" s="8">
        <v>3706.0</v>
      </c>
      <c r="H1082" s="8" t="s">
        <v>45</v>
      </c>
      <c r="K1082" s="8" t="s">
        <v>91</v>
      </c>
      <c r="L1082" s="8" t="s">
        <v>31</v>
      </c>
      <c r="M1082" s="8" t="s">
        <v>34</v>
      </c>
      <c r="N1082" s="8"/>
      <c r="O1082" s="8"/>
      <c r="P1082" s="9">
        <v>44108.0</v>
      </c>
      <c r="Q1082" s="10">
        <v>0.04166666666424135</v>
      </c>
      <c r="R1082" s="11" t="str">
        <f t="shared" si="1"/>
        <v>Настойка первой платы на АОИ SEC</v>
      </c>
      <c r="S1082" s="16" t="str">
        <f>iferror(VLOOKUP(C1082,'ФИО'!A:B,2,0),"учётный код не найден")</f>
        <v>Муртищева Ольга Валентиновна</v>
      </c>
      <c r="T1082" s="11" t="str">
        <f t="shared" si="2"/>
        <v>ПУ Сигма 10/15 910-00080.D</v>
      </c>
      <c r="U1082" s="8">
        <v>0.0</v>
      </c>
      <c r="V1082" s="8">
        <v>0.0</v>
      </c>
      <c r="W1082" s="21" t="str">
        <f t="shared" si="119"/>
        <v>Данные не заполены</v>
      </c>
      <c r="X1082" s="15" t="str">
        <f t="shared" si="114"/>
        <v>Данные не заполены</v>
      </c>
      <c r="Y1082" s="15">
        <f t="shared" si="115"/>
        <v>0</v>
      </c>
    </row>
    <row r="1083" hidden="1">
      <c r="A1083" s="7">
        <v>44133.83669159722</v>
      </c>
      <c r="B1083" s="8" t="s">
        <v>127</v>
      </c>
      <c r="C1083" s="8">
        <v>21171.0</v>
      </c>
      <c r="D1083" s="8" t="s">
        <v>27</v>
      </c>
      <c r="E1083" s="8" t="s">
        <v>125</v>
      </c>
      <c r="G1083" s="8">
        <v>3802.0</v>
      </c>
      <c r="H1083" s="8" t="s">
        <v>45</v>
      </c>
      <c r="K1083" s="8" t="s">
        <v>120</v>
      </c>
      <c r="L1083" s="8" t="s">
        <v>37</v>
      </c>
      <c r="P1083" s="9">
        <v>44133.0</v>
      </c>
      <c r="Q1083" s="10">
        <v>0.04166666666424135</v>
      </c>
      <c r="R1083" s="11" t="str">
        <f t="shared" si="1"/>
        <v>Настойка первой платы на АОИ SEC</v>
      </c>
      <c r="S1083" s="16" t="str">
        <f>iferror(VLOOKUP(C1083,'ФИО'!A:B,2,0),"учётный код не найден")</f>
        <v>Муртищева Ольга Валентиновна</v>
      </c>
      <c r="T1083" s="11" t="str">
        <f t="shared" si="2"/>
        <v>М15ECO (900-00030.С) 910-00034.C/910-00041.C</v>
      </c>
      <c r="U1083" s="8">
        <v>0.0</v>
      </c>
      <c r="V1083" s="8">
        <v>0.0</v>
      </c>
      <c r="W1083" s="17" t="str">
        <f t="shared" si="119"/>
        <v>Данные не заполены</v>
      </c>
      <c r="X1083" s="14" t="str">
        <f t="shared" si="114"/>
        <v>Данные не заполены</v>
      </c>
      <c r="Y1083" s="15">
        <f t="shared" si="115"/>
        <v>0</v>
      </c>
    </row>
    <row r="1084" hidden="1">
      <c r="A1084" s="7">
        <v>44128.33277620371</v>
      </c>
      <c r="B1084" s="8" t="s">
        <v>126</v>
      </c>
      <c r="C1084" s="8">
        <v>21171.0</v>
      </c>
      <c r="D1084" s="8" t="s">
        <v>27</v>
      </c>
      <c r="E1084" s="8" t="s">
        <v>97</v>
      </c>
      <c r="G1084" s="8">
        <v>3622.0</v>
      </c>
      <c r="H1084" s="8" t="s">
        <v>29</v>
      </c>
      <c r="I1084" s="8" t="s">
        <v>90</v>
      </c>
      <c r="L1084" s="8" t="s">
        <v>37</v>
      </c>
      <c r="P1084" s="9">
        <v>44127.0</v>
      </c>
      <c r="Q1084" s="10">
        <v>0.006944444445252884</v>
      </c>
      <c r="R1084" s="11" t="str">
        <f t="shared" si="1"/>
        <v>Проверка плат на АОИ Prim</v>
      </c>
      <c r="S1084" s="16" t="str">
        <f>iferror(VLOOKUP(C1084,'ФИО'!A:B,2,0),"учётный код не найден")</f>
        <v>Муртищева Ольга Валентиновна</v>
      </c>
      <c r="T1084" s="13" t="str">
        <f t="shared" si="2"/>
        <v>915-00124.A - Tioga Pass_v1.1 (Гагар.ин)</v>
      </c>
      <c r="U1084" s="8">
        <v>0.0</v>
      </c>
      <c r="V1084" s="8">
        <v>1.0</v>
      </c>
      <c r="W1084" s="17" t="str">
        <f t="shared" si="119"/>
        <v>Данные не заполены</v>
      </c>
      <c r="X1084" s="14" t="str">
        <f t="shared" si="114"/>
        <v>Данные не заполены</v>
      </c>
      <c r="Y1084" s="15">
        <f t="shared" si="115"/>
        <v>1</v>
      </c>
      <c r="Z1084" s="8" t="s">
        <v>261</v>
      </c>
    </row>
    <row r="1085" hidden="1">
      <c r="A1085" s="7">
        <v>44128.337072615745</v>
      </c>
      <c r="B1085" s="8" t="s">
        <v>126</v>
      </c>
      <c r="C1085" s="8">
        <v>21171.0</v>
      </c>
      <c r="D1085" s="8" t="s">
        <v>27</v>
      </c>
      <c r="E1085" s="8" t="s">
        <v>97</v>
      </c>
      <c r="G1085" s="8">
        <v>3253.0</v>
      </c>
      <c r="H1085" s="8" t="s">
        <v>29</v>
      </c>
      <c r="I1085" s="8" t="s">
        <v>95</v>
      </c>
      <c r="L1085" s="8" t="s">
        <v>37</v>
      </c>
      <c r="P1085" s="9">
        <v>44127.0</v>
      </c>
      <c r="Q1085" s="10">
        <v>0.05555555555555555</v>
      </c>
      <c r="R1085" s="11" t="str">
        <f t="shared" si="1"/>
        <v>Проверка плат на АОИ Prim</v>
      </c>
      <c r="S1085" s="16" t="str">
        <f>iferror(VLOOKUP(C1085,'ФИО'!A:B,2,0),"учётный код не найден")</f>
        <v>Муртищева Ольга Валентиновна</v>
      </c>
      <c r="T1085" s="13" t="str">
        <f t="shared" si="2"/>
        <v>915-00095.A - ПКД-8В-1 АСЛБ.467249.108 (Квант)</v>
      </c>
      <c r="U1085" s="8">
        <v>8.0</v>
      </c>
      <c r="V1085" s="8">
        <v>10.0</v>
      </c>
      <c r="W1085" s="17" t="str">
        <f t="shared" si="119"/>
        <v>Данные не заполены</v>
      </c>
      <c r="X1085" s="14" t="str">
        <f t="shared" si="114"/>
        <v>Данные не заполены</v>
      </c>
      <c r="Y1085" s="15">
        <f t="shared" si="115"/>
        <v>1.25</v>
      </c>
      <c r="Z1085" s="8" t="s">
        <v>262</v>
      </c>
    </row>
    <row r="1086" hidden="1">
      <c r="A1086" s="7">
        <v>44109.36419090278</v>
      </c>
      <c r="B1086" s="8" t="s">
        <v>127</v>
      </c>
      <c r="C1086" s="8">
        <v>21171.0</v>
      </c>
      <c r="D1086" s="8" t="s">
        <v>27</v>
      </c>
      <c r="E1086" s="8" t="s">
        <v>82</v>
      </c>
      <c r="G1086" s="8">
        <v>3233.0</v>
      </c>
      <c r="H1086" s="8" t="s">
        <v>29</v>
      </c>
      <c r="I1086" s="8" t="s">
        <v>60</v>
      </c>
      <c r="L1086" s="8" t="s">
        <v>31</v>
      </c>
      <c r="M1086" s="8" t="s">
        <v>34</v>
      </c>
      <c r="N1086" s="8"/>
      <c r="O1086" s="8"/>
      <c r="P1086" s="9">
        <v>44108.0</v>
      </c>
      <c r="Q1086" s="10">
        <v>0.020833333333333332</v>
      </c>
      <c r="R1086" s="11" t="str">
        <f t="shared" si="1"/>
        <v>Настройка установщиков</v>
      </c>
      <c r="S1086" s="16" t="str">
        <f>iferror(VLOOKUP(C1086,'ФИО'!A:B,2,0),"учётный код не найден")</f>
        <v>Муртищева Ольга Валентиновна</v>
      </c>
      <c r="T1086" s="11" t="str">
        <f t="shared" si="2"/>
        <v>915-00102.A - ПБОК-2В АСЛБ.465285.013 (Квант)</v>
      </c>
      <c r="U1086" s="8">
        <v>1.0</v>
      </c>
      <c r="V1086" s="8">
        <v>0.0</v>
      </c>
      <c r="W1086" s="21" t="str">
        <f t="shared" si="119"/>
        <v>Данные не заполены</v>
      </c>
      <c r="X1086" s="15" t="str">
        <f t="shared" si="114"/>
        <v>Данные не заполены</v>
      </c>
      <c r="Y1086" s="15">
        <f t="shared" si="115"/>
        <v>0</v>
      </c>
    </row>
    <row r="1087" hidden="1">
      <c r="A1087" s="7">
        <v>44118.80620784722</v>
      </c>
      <c r="B1087" s="8" t="s">
        <v>127</v>
      </c>
      <c r="C1087" s="8">
        <v>21171.0</v>
      </c>
      <c r="D1087" s="8" t="s">
        <v>27</v>
      </c>
      <c r="E1087" s="8" t="s">
        <v>82</v>
      </c>
      <c r="G1087" s="8">
        <v>3622.0</v>
      </c>
      <c r="H1087" s="8" t="s">
        <v>29</v>
      </c>
      <c r="I1087" s="8" t="s">
        <v>90</v>
      </c>
      <c r="L1087" s="8" t="s">
        <v>31</v>
      </c>
      <c r="M1087" s="8" t="s">
        <v>34</v>
      </c>
      <c r="P1087" s="9">
        <v>44117.0</v>
      </c>
      <c r="Q1087" s="10">
        <v>0.020833333335758653</v>
      </c>
      <c r="R1087" s="11" t="str">
        <f t="shared" si="1"/>
        <v>Настройка установщиков</v>
      </c>
      <c r="S1087" s="22" t="s">
        <v>254</v>
      </c>
      <c r="T1087" s="11" t="str">
        <f t="shared" si="2"/>
        <v>915-00124.A - Tioga Pass_v1.1 (Гагар.ин)</v>
      </c>
      <c r="U1087" s="8">
        <v>0.0</v>
      </c>
      <c r="V1087" s="8">
        <v>0.0</v>
      </c>
      <c r="W1087" s="17" t="str">
        <f t="shared" si="119"/>
        <v>Данные не заполены</v>
      </c>
      <c r="X1087" s="14" t="str">
        <f t="shared" si="114"/>
        <v>Данные не заполены</v>
      </c>
      <c r="Y1087" s="15">
        <f t="shared" si="115"/>
        <v>0</v>
      </c>
    </row>
    <row r="1088" hidden="1">
      <c r="A1088" s="7">
        <v>44109.90292958333</v>
      </c>
      <c r="B1088" s="8" t="s">
        <v>127</v>
      </c>
      <c r="C1088" s="8">
        <v>21171.0</v>
      </c>
      <c r="D1088" s="8" t="s">
        <v>27</v>
      </c>
      <c r="E1088" s="8" t="s">
        <v>65</v>
      </c>
      <c r="G1088" s="8">
        <v>3234.0</v>
      </c>
      <c r="H1088" s="8" t="s">
        <v>29</v>
      </c>
      <c r="I1088" s="8" t="s">
        <v>135</v>
      </c>
      <c r="L1088" s="8" t="s">
        <v>31</v>
      </c>
      <c r="M1088" s="8" t="s">
        <v>34</v>
      </c>
      <c r="N1088" s="8"/>
      <c r="O1088" s="8"/>
      <c r="P1088" s="9">
        <v>44109.0</v>
      </c>
      <c r="Q1088" s="10">
        <v>0.08333333333575865</v>
      </c>
      <c r="R1088" s="11" t="str">
        <f t="shared" si="1"/>
        <v>Проверка комплектации</v>
      </c>
      <c r="S1088" s="16" t="str">
        <f>iferror(VLOOKUP(C1088,'ФИО'!A:B,2,0),"учётный код не найден")</f>
        <v>Муртищева Ольга Валентиновна</v>
      </c>
      <c r="T1088" s="11" t="str">
        <f t="shared" si="2"/>
        <v>915-00101.A - ПКД-9В АСЛБ.467249.107 (Квант)</v>
      </c>
      <c r="U1088" s="8">
        <v>0.0</v>
      </c>
      <c r="V1088" s="8">
        <v>0.0</v>
      </c>
      <c r="W1088" s="21" t="str">
        <f t="shared" si="119"/>
        <v>Данные не заполены</v>
      </c>
      <c r="X1088" s="15" t="str">
        <f t="shared" si="114"/>
        <v>Данные не заполены</v>
      </c>
      <c r="Y1088" s="15">
        <f t="shared" si="115"/>
        <v>0</v>
      </c>
    </row>
    <row r="1089" hidden="1">
      <c r="A1089" s="7">
        <v>44118.80749893519</v>
      </c>
      <c r="B1089" s="8" t="s">
        <v>127</v>
      </c>
      <c r="C1089" s="8">
        <v>21171.0</v>
      </c>
      <c r="D1089" s="8" t="s">
        <v>27</v>
      </c>
      <c r="E1089" s="8" t="s">
        <v>65</v>
      </c>
      <c r="G1089" s="8">
        <v>3622.0</v>
      </c>
      <c r="H1089" s="8" t="s">
        <v>29</v>
      </c>
      <c r="I1089" s="8" t="s">
        <v>90</v>
      </c>
      <c r="L1089" s="8" t="s">
        <v>31</v>
      </c>
      <c r="M1089" s="8" t="s">
        <v>34</v>
      </c>
      <c r="P1089" s="9">
        <v>44117.0</v>
      </c>
      <c r="Q1089" s="10">
        <v>0.020833333335758653</v>
      </c>
      <c r="R1089" s="11" t="str">
        <f t="shared" si="1"/>
        <v>Проверка комплектации</v>
      </c>
      <c r="S1089" s="22" t="s">
        <v>254</v>
      </c>
      <c r="T1089" s="11" t="str">
        <f t="shared" si="2"/>
        <v>915-00124.A - Tioga Pass_v1.1 (Гагар.ин)</v>
      </c>
      <c r="U1089" s="8">
        <v>0.0</v>
      </c>
      <c r="V1089" s="8">
        <v>0.0</v>
      </c>
      <c r="W1089" s="17" t="str">
        <f t="shared" si="119"/>
        <v>Данные не заполены</v>
      </c>
      <c r="X1089" s="14" t="str">
        <f t="shared" si="114"/>
        <v>Данные не заполены</v>
      </c>
      <c r="Y1089" s="15">
        <f t="shared" si="115"/>
        <v>0</v>
      </c>
    </row>
    <row r="1090" hidden="1">
      <c r="A1090" s="7">
        <v>44128.33213217593</v>
      </c>
      <c r="B1090" s="8" t="s">
        <v>126</v>
      </c>
      <c r="C1090" s="8">
        <v>21171.0</v>
      </c>
      <c r="D1090" s="8" t="s">
        <v>27</v>
      </c>
      <c r="E1090" s="8" t="s">
        <v>100</v>
      </c>
      <c r="G1090" s="8">
        <v>3622.0</v>
      </c>
      <c r="H1090" s="8" t="s">
        <v>29</v>
      </c>
      <c r="I1090" s="8" t="s">
        <v>90</v>
      </c>
      <c r="L1090" s="8" t="s">
        <v>37</v>
      </c>
      <c r="P1090" s="9">
        <v>44127.0</v>
      </c>
      <c r="Q1090" s="10">
        <v>0.0625</v>
      </c>
      <c r="R1090" s="11" t="str">
        <f t="shared" si="1"/>
        <v>Проверка плат на АОИ Sec</v>
      </c>
      <c r="S1090" s="16" t="str">
        <f>iferror(VLOOKUP(C1090,'ФИО'!A:B,2,0),"учётный код не найден")</f>
        <v>Муртищева Ольга Валентиновна</v>
      </c>
      <c r="T1090" s="13" t="str">
        <f t="shared" si="2"/>
        <v>915-00124.A - Tioga Pass_v1.1 (Гагар.ин)</v>
      </c>
      <c r="U1090" s="8">
        <v>0.0</v>
      </c>
      <c r="V1090" s="8">
        <v>3.0</v>
      </c>
      <c r="W1090" s="17" t="str">
        <f t="shared" si="119"/>
        <v>Данные не заполены</v>
      </c>
      <c r="X1090" s="14" t="str">
        <f t="shared" si="114"/>
        <v>Данные не заполены</v>
      </c>
      <c r="Y1090" s="15">
        <f t="shared" si="115"/>
        <v>3</v>
      </c>
      <c r="Z1090" s="8" t="s">
        <v>261</v>
      </c>
    </row>
    <row r="1091" hidden="1">
      <c r="A1091" s="7">
        <v>44128.33624106481</v>
      </c>
      <c r="B1091" s="8" t="s">
        <v>126</v>
      </c>
      <c r="C1091" s="8">
        <v>21171.0</v>
      </c>
      <c r="D1091" s="8" t="s">
        <v>27</v>
      </c>
      <c r="E1091" s="8" t="s">
        <v>100</v>
      </c>
      <c r="G1091" s="8">
        <v>3804.0</v>
      </c>
      <c r="H1091" s="8" t="s">
        <v>45</v>
      </c>
      <c r="K1091" s="8" t="s">
        <v>52</v>
      </c>
      <c r="L1091" s="8" t="s">
        <v>37</v>
      </c>
      <c r="P1091" s="9">
        <v>44127.0</v>
      </c>
      <c r="Q1091" s="10">
        <v>0.04166666666424135</v>
      </c>
      <c r="R1091" s="11" t="str">
        <f t="shared" si="1"/>
        <v>Проверка плат на АОИ Sec</v>
      </c>
      <c r="S1091" s="16" t="str">
        <f>iferror(VLOOKUP(C1091,'ФИО'!A:B,2,0),"учётный код не найден")</f>
        <v>Муртищева Ольга Валентиновна</v>
      </c>
      <c r="T1091" s="13" t="str">
        <f t="shared" si="2"/>
        <v>М17V2 (900-00018.D)_910-00023.H и ПУ 910-00012.I</v>
      </c>
      <c r="U1091" s="8">
        <v>149.0</v>
      </c>
      <c r="V1091" s="8">
        <v>31.0</v>
      </c>
      <c r="W1091" s="17" t="str">
        <f t="shared" si="119"/>
        <v>Данные не заполены</v>
      </c>
      <c r="X1091" s="14" t="str">
        <f t="shared" si="114"/>
        <v>Данные не заполены</v>
      </c>
      <c r="Y1091" s="15">
        <f t="shared" si="115"/>
        <v>0.2080536913</v>
      </c>
      <c r="Z1091" s="8" t="s">
        <v>263</v>
      </c>
    </row>
    <row r="1092" hidden="1">
      <c r="A1092" s="7">
        <v>44129.330174780094</v>
      </c>
      <c r="B1092" s="8" t="s">
        <v>126</v>
      </c>
      <c r="C1092" s="8">
        <v>21927.0</v>
      </c>
      <c r="D1092" s="8" t="s">
        <v>27</v>
      </c>
      <c r="E1092" s="8" t="s">
        <v>100</v>
      </c>
      <c r="G1092" s="8">
        <v>3804.0</v>
      </c>
      <c r="H1092" s="8" t="s">
        <v>45</v>
      </c>
      <c r="K1092" s="8" t="s">
        <v>52</v>
      </c>
      <c r="L1092" s="8" t="s">
        <v>37</v>
      </c>
      <c r="P1092" s="9">
        <v>44128.0</v>
      </c>
      <c r="Q1092" s="10">
        <v>0.4375</v>
      </c>
      <c r="R1092" s="11" t="str">
        <f t="shared" si="1"/>
        <v>Проверка плат на АОИ Sec</v>
      </c>
      <c r="S1092" s="12" t="str">
        <f>iferror(VLOOKUP(C1092,'ФИО'!A:B,2,0),"учётный код не найден")</f>
        <v>Шергин Родион Олегович</v>
      </c>
      <c r="T1092" s="13" t="str">
        <f t="shared" si="2"/>
        <v>М17V2 (900-00018.D)_910-00023.H и ПУ 910-00012.I</v>
      </c>
      <c r="U1092" s="8">
        <v>2664.0</v>
      </c>
      <c r="V1092" s="8">
        <v>4136.0</v>
      </c>
      <c r="W1092" s="17" t="str">
        <f t="shared" si="119"/>
        <v>Данные не заполены</v>
      </c>
      <c r="X1092" s="14" t="str">
        <f t="shared" si="114"/>
        <v>Данные не заполены</v>
      </c>
      <c r="Y1092" s="15">
        <f t="shared" si="115"/>
        <v>1.552552553</v>
      </c>
      <c r="Z1092" s="25" t="s">
        <v>264</v>
      </c>
    </row>
    <row r="1093" hidden="1">
      <c r="A1093" s="7">
        <v>44129.3138534375</v>
      </c>
      <c r="B1093" s="8" t="s">
        <v>126</v>
      </c>
      <c r="C1093" s="8">
        <v>21171.0</v>
      </c>
      <c r="D1093" s="8" t="s">
        <v>27</v>
      </c>
      <c r="E1093" s="8" t="s">
        <v>100</v>
      </c>
      <c r="G1093" s="8">
        <v>3804.0</v>
      </c>
      <c r="H1093" s="8" t="s">
        <v>45</v>
      </c>
      <c r="K1093" s="8" t="s">
        <v>52</v>
      </c>
      <c r="L1093" s="8" t="s">
        <v>37</v>
      </c>
      <c r="P1093" s="9">
        <v>44128.0</v>
      </c>
      <c r="Q1093" s="10">
        <v>0.17708333333575865</v>
      </c>
      <c r="R1093" s="11" t="str">
        <f t="shared" si="1"/>
        <v>Проверка плат на АОИ Sec</v>
      </c>
      <c r="S1093" s="12" t="str">
        <f>iferror(VLOOKUP(C1093,'ФИО'!A:B,2,0),"учётный код не найден")</f>
        <v>Муртищева Ольга Валентиновна</v>
      </c>
      <c r="T1093" s="13" t="str">
        <f t="shared" si="2"/>
        <v>М17V2 (900-00018.D)_910-00023.H и ПУ 910-00012.I</v>
      </c>
      <c r="U1093" s="8">
        <v>0.0</v>
      </c>
      <c r="V1093" s="8">
        <v>0.0</v>
      </c>
      <c r="W1093" s="17" t="str">
        <f t="shared" si="119"/>
        <v>Данные не заполены</v>
      </c>
      <c r="X1093" s="14" t="str">
        <f t="shared" si="114"/>
        <v>Данные не заполены</v>
      </c>
      <c r="Y1093" s="15">
        <f t="shared" si="115"/>
        <v>0</v>
      </c>
    </row>
    <row r="1094" hidden="1">
      <c r="A1094" s="7">
        <v>44109.90189368055</v>
      </c>
      <c r="B1094" s="8" t="s">
        <v>127</v>
      </c>
      <c r="C1094" s="8">
        <v>21171.0</v>
      </c>
      <c r="D1094" s="8" t="s">
        <v>27</v>
      </c>
      <c r="E1094" s="8" t="s">
        <v>97</v>
      </c>
      <c r="G1094" s="8">
        <v>3726.0</v>
      </c>
      <c r="H1094" s="8" t="s">
        <v>45</v>
      </c>
      <c r="K1094" s="8" t="s">
        <v>58</v>
      </c>
      <c r="L1094" s="8" t="s">
        <v>37</v>
      </c>
      <c r="P1094" s="9">
        <v>44109.0</v>
      </c>
      <c r="Q1094" s="10">
        <v>0.22916666666424135</v>
      </c>
      <c r="R1094" s="11" t="str">
        <f t="shared" si="1"/>
        <v>Проверка плат на АОИ Prim</v>
      </c>
      <c r="S1094" s="16" t="str">
        <f>iferror(VLOOKUP(C1094,'ФИО'!A:B,2,0),"учётный код не найден")</f>
        <v>Муртищева Ольга Валентиновна</v>
      </c>
      <c r="T1094" s="11" t="str">
        <f t="shared" si="2"/>
        <v>ПУ метки i95</v>
      </c>
      <c r="U1094" s="8">
        <v>0.0</v>
      </c>
      <c r="V1094" s="8">
        <v>0.0</v>
      </c>
      <c r="W1094" s="21" t="str">
        <f t="shared" si="119"/>
        <v>Данные не заполены</v>
      </c>
      <c r="X1094" s="15" t="str">
        <f t="shared" si="114"/>
        <v>Данные не заполены</v>
      </c>
      <c r="Y1094" s="15">
        <f t="shared" si="115"/>
        <v>0</v>
      </c>
    </row>
    <row r="1095" hidden="1">
      <c r="A1095" s="7">
        <v>44117.67388293982</v>
      </c>
      <c r="B1095" s="8" t="s">
        <v>127</v>
      </c>
      <c r="C1095" s="8">
        <v>21171.0</v>
      </c>
      <c r="D1095" s="8" t="s">
        <v>27</v>
      </c>
      <c r="E1095" s="8" t="s">
        <v>97</v>
      </c>
      <c r="G1095" s="8">
        <v>3750.0</v>
      </c>
      <c r="H1095" s="8" t="s">
        <v>45</v>
      </c>
      <c r="K1095" s="8" t="s">
        <v>46</v>
      </c>
      <c r="L1095" s="8" t="s">
        <v>37</v>
      </c>
      <c r="P1095" s="9">
        <v>44116.0</v>
      </c>
      <c r="Q1095" s="10">
        <v>0.020833333335758653</v>
      </c>
      <c r="R1095" s="11" t="str">
        <f t="shared" si="1"/>
        <v>Проверка плат на АОИ Prim</v>
      </c>
      <c r="S1095" s="16" t="str">
        <f>iferror(VLOOKUP(C1095,'ФИО'!A:B,2,0),"учётный код не найден")</f>
        <v>Муртищева Ольга Валентиновна</v>
      </c>
      <c r="T1095" s="11" t="str">
        <f t="shared" si="2"/>
        <v>ПУ 910-00349.A "Печатный узел основного блока E96 4LIN"</v>
      </c>
      <c r="U1095" s="8">
        <v>0.0</v>
      </c>
      <c r="V1095" s="8">
        <v>0.0</v>
      </c>
      <c r="W1095" s="17" t="str">
        <f t="shared" si="119"/>
        <v>Данные не заполены</v>
      </c>
      <c r="X1095" s="14" t="str">
        <f t="shared" si="114"/>
        <v>Данные не заполены</v>
      </c>
      <c r="Y1095" s="15">
        <f t="shared" si="115"/>
        <v>0</v>
      </c>
    </row>
    <row r="1096" hidden="1">
      <c r="A1096" s="7">
        <v>44132.82659835648</v>
      </c>
      <c r="B1096" s="8" t="s">
        <v>127</v>
      </c>
      <c r="C1096" s="8">
        <v>21171.0</v>
      </c>
      <c r="D1096" s="8" t="s">
        <v>27</v>
      </c>
      <c r="E1096" s="8" t="s">
        <v>97</v>
      </c>
      <c r="G1096" s="8">
        <v>3237.0</v>
      </c>
      <c r="H1096" s="8" t="s">
        <v>29</v>
      </c>
      <c r="I1096" s="8" t="s">
        <v>56</v>
      </c>
      <c r="L1096" s="8" t="s">
        <v>37</v>
      </c>
      <c r="P1096" s="9">
        <v>44132.0</v>
      </c>
      <c r="Q1096" s="10">
        <v>0.04166666666424135</v>
      </c>
      <c r="R1096" s="11" t="str">
        <f t="shared" si="1"/>
        <v>Проверка плат на АОИ Prim</v>
      </c>
      <c r="S1096" s="16" t="str">
        <f>iferror(VLOOKUP(C1096,'ФИО'!A:B,2,0),"учётный код не найден")</f>
        <v>Муртищева Ольга Валентиновна</v>
      </c>
      <c r="T1096" s="11" t="str">
        <f t="shared" si="2"/>
        <v>915-00098.А - ПКБУИК-38 АСЛБ.465122.020 (Квант)</v>
      </c>
      <c r="U1096" s="8">
        <v>0.0</v>
      </c>
      <c r="V1096" s="8">
        <v>24.0</v>
      </c>
      <c r="W1096" s="17" t="str">
        <f t="shared" si="119"/>
        <v>Данные не заполены</v>
      </c>
      <c r="X1096" s="14" t="str">
        <f t="shared" si="114"/>
        <v>Данные не заполены</v>
      </c>
      <c r="Y1096" s="15">
        <f t="shared" si="115"/>
        <v>24</v>
      </c>
    </row>
    <row r="1097" hidden="1">
      <c r="A1097" s="7">
        <v>44133.8338675</v>
      </c>
      <c r="B1097" s="8" t="s">
        <v>127</v>
      </c>
      <c r="C1097" s="8">
        <v>21171.0</v>
      </c>
      <c r="D1097" s="8" t="s">
        <v>27</v>
      </c>
      <c r="E1097" s="8" t="s">
        <v>97</v>
      </c>
      <c r="G1097" s="8">
        <v>3802.0</v>
      </c>
      <c r="H1097" s="8" t="s">
        <v>45</v>
      </c>
      <c r="K1097" s="8" t="s">
        <v>120</v>
      </c>
      <c r="L1097" s="8" t="s">
        <v>37</v>
      </c>
      <c r="P1097" s="9">
        <v>44133.0</v>
      </c>
      <c r="Q1097" s="10">
        <v>0.006944444445252884</v>
      </c>
      <c r="R1097" s="11" t="str">
        <f t="shared" si="1"/>
        <v>Проверка плат на АОИ Prim</v>
      </c>
      <c r="S1097" s="16" t="str">
        <f>iferror(VLOOKUP(C1097,'ФИО'!A:B,2,0),"учётный код не найден")</f>
        <v>Муртищева Ольга Валентиновна</v>
      </c>
      <c r="T1097" s="11" t="str">
        <f t="shared" si="2"/>
        <v>М15ECO (900-00030.С) 910-00034.C/910-00041.C</v>
      </c>
      <c r="U1097" s="8">
        <v>15.0</v>
      </c>
      <c r="V1097" s="8">
        <v>25.0</v>
      </c>
      <c r="W1097" s="17" t="str">
        <f t="shared" si="119"/>
        <v>Данные не заполены</v>
      </c>
      <c r="X1097" s="14" t="str">
        <f t="shared" si="114"/>
        <v>Данные не заполены</v>
      </c>
      <c r="Y1097" s="15">
        <f t="shared" si="115"/>
        <v>1.666666667</v>
      </c>
    </row>
    <row r="1098" hidden="1">
      <c r="A1098" s="7">
        <v>44109.35694128472</v>
      </c>
      <c r="B1098" s="8" t="s">
        <v>127</v>
      </c>
      <c r="C1098" s="8">
        <v>21171.0</v>
      </c>
      <c r="D1098" s="8" t="s">
        <v>27</v>
      </c>
      <c r="E1098" s="8" t="s">
        <v>100</v>
      </c>
      <c r="G1098" s="8">
        <v>3706.0</v>
      </c>
      <c r="H1098" s="8" t="s">
        <v>45</v>
      </c>
      <c r="K1098" s="8" t="s">
        <v>91</v>
      </c>
      <c r="L1098" s="8" t="s">
        <v>31</v>
      </c>
      <c r="M1098" s="8" t="s">
        <v>265</v>
      </c>
      <c r="N1098" s="8"/>
      <c r="O1098" s="8"/>
      <c r="P1098" s="9">
        <v>44108.0</v>
      </c>
      <c r="Q1098" s="10">
        <v>0.16666666666424135</v>
      </c>
      <c r="R1098" s="11" t="str">
        <f t="shared" si="1"/>
        <v>Проверка плат на АОИ Sec</v>
      </c>
      <c r="S1098" s="16" t="str">
        <f>iferror(VLOOKUP(C1098,'ФИО'!A:B,2,0),"учётный код не найден")</f>
        <v>Муртищева Ольга Валентиновна</v>
      </c>
      <c r="T1098" s="11" t="str">
        <f t="shared" si="2"/>
        <v>ПУ Сигма 10/15 910-00080.D</v>
      </c>
      <c r="U1098" s="8">
        <v>297.0</v>
      </c>
      <c r="V1098" s="8">
        <v>199.0</v>
      </c>
      <c r="W1098" s="21" t="str">
        <f t="shared" si="119"/>
        <v>Данные не заполены</v>
      </c>
      <c r="X1098" s="15" t="str">
        <f t="shared" si="114"/>
        <v>Данные не заполены</v>
      </c>
      <c r="Y1098" s="15">
        <f t="shared" si="115"/>
        <v>0.67003367</v>
      </c>
      <c r="Z1098" s="8" t="s">
        <v>266</v>
      </c>
    </row>
    <row r="1099" hidden="1">
      <c r="A1099" s="7">
        <v>44120.843743391204</v>
      </c>
      <c r="B1099" s="8" t="s">
        <v>126</v>
      </c>
      <c r="C1099" s="8">
        <v>21927.0</v>
      </c>
      <c r="D1099" s="8" t="s">
        <v>27</v>
      </c>
      <c r="E1099" s="8" t="s">
        <v>160</v>
      </c>
      <c r="G1099" s="8">
        <v>3649.0</v>
      </c>
      <c r="H1099" s="8" t="s">
        <v>29</v>
      </c>
      <c r="I1099" s="8" t="s">
        <v>33</v>
      </c>
      <c r="L1099" s="8" t="s">
        <v>31</v>
      </c>
      <c r="M1099" s="8" t="s">
        <v>34</v>
      </c>
      <c r="P1099" s="9">
        <v>44119.0</v>
      </c>
      <c r="Q1099" s="10">
        <v>0.04166666666424135</v>
      </c>
      <c r="R1099" s="11" t="str">
        <f t="shared" si="1"/>
        <v>Проверка программы установщиков</v>
      </c>
      <c r="S1099" s="16" t="str">
        <f>iferror(VLOOKUP(C1099,'ФИО'!A:B,2,0),"учётный код не найден")</f>
        <v>Шергин Родион Олегович</v>
      </c>
      <c r="T1099" s="13" t="str">
        <f t="shared" si="2"/>
        <v>ssfp2.2 (Метротек)</v>
      </c>
      <c r="U1099" s="8">
        <v>0.0</v>
      </c>
      <c r="V1099" s="8">
        <v>0.0</v>
      </c>
      <c r="W1099" s="17" t="str">
        <f t="shared" si="119"/>
        <v>Данные не заполены</v>
      </c>
      <c r="X1099" s="14" t="str">
        <f t="shared" si="114"/>
        <v>Данные не заполены</v>
      </c>
    </row>
    <row r="1100" hidden="1">
      <c r="A1100" s="7">
        <v>44125.36968015046</v>
      </c>
      <c r="B1100" s="8" t="s">
        <v>127</v>
      </c>
      <c r="C1100" s="8">
        <v>21171.0</v>
      </c>
      <c r="D1100" s="8" t="s">
        <v>27</v>
      </c>
      <c r="E1100" s="8" t="s">
        <v>100</v>
      </c>
      <c r="G1100" s="8">
        <v>3754.0</v>
      </c>
      <c r="H1100" s="8" t="s">
        <v>45</v>
      </c>
      <c r="K1100" s="8" t="s">
        <v>124</v>
      </c>
      <c r="L1100" s="8" t="s">
        <v>37</v>
      </c>
      <c r="P1100" s="9">
        <v>44124.0</v>
      </c>
      <c r="Q1100" s="10">
        <v>0.29166666666424135</v>
      </c>
      <c r="R1100" s="11" t="str">
        <f t="shared" si="1"/>
        <v>Проверка плат на АОИ Sec</v>
      </c>
      <c r="S1100" s="16" t="str">
        <f>iferror(VLOOKUP(C1100,'ФИО'!A:B,2,0),"учётный код не найден")</f>
        <v>Муртищева Ольга Валентиновна</v>
      </c>
      <c r="T1100" s="11" t="str">
        <f t="shared" si="2"/>
        <v>ПУ 910-00120.D - Печатный узел модуля 2CAN+LIN</v>
      </c>
      <c r="U1100" s="8">
        <v>0.0</v>
      </c>
      <c r="V1100" s="8">
        <v>0.0</v>
      </c>
      <c r="W1100" s="17" t="str">
        <f t="shared" si="119"/>
        <v>Данные не заполены</v>
      </c>
      <c r="X1100" s="14" t="str">
        <f t="shared" si="114"/>
        <v>Данные не заполены</v>
      </c>
      <c r="Y1100" s="15">
        <f t="shared" ref="Y1100:Y1124" si="120">iferror((V1100/if(U1100=0,1,U1100)),0)</f>
        <v>0</v>
      </c>
    </row>
    <row r="1101" hidden="1">
      <c r="A1101" s="7">
        <v>44118.83245128472</v>
      </c>
      <c r="B1101" s="8" t="s">
        <v>89</v>
      </c>
      <c r="C1101" s="8">
        <v>20693.0</v>
      </c>
      <c r="D1101" s="8" t="s">
        <v>27</v>
      </c>
      <c r="E1101" s="8" t="s">
        <v>66</v>
      </c>
      <c r="G1101" s="8">
        <v>3622.0</v>
      </c>
      <c r="H1101" s="8" t="s">
        <v>29</v>
      </c>
      <c r="I1101" s="8" t="s">
        <v>90</v>
      </c>
      <c r="L1101" s="8" t="s">
        <v>31</v>
      </c>
      <c r="M1101" s="8" t="s">
        <v>34</v>
      </c>
      <c r="P1101" s="9">
        <v>44118.0</v>
      </c>
      <c r="Q1101" s="10">
        <v>0.0625</v>
      </c>
      <c r="R1101" s="11" t="str">
        <f t="shared" si="1"/>
        <v>Проверка первой платы до оплавления</v>
      </c>
      <c r="S1101" s="16" t="str">
        <f>iferror(VLOOKUP(C1101,'ФИО'!A:B,2,0),"учётный код не найден")</f>
        <v>Аникина Раиса Владимировна</v>
      </c>
      <c r="T1101" s="13" t="str">
        <f t="shared" si="2"/>
        <v>915-00124.A - Tioga Pass_v1.1 (Гагар.ин)</v>
      </c>
      <c r="U1101" s="8">
        <v>1.0</v>
      </c>
      <c r="V1101" s="8">
        <v>0.0</v>
      </c>
      <c r="W1101" s="17" t="str">
        <f t="shared" si="119"/>
        <v>Данные не заполены</v>
      </c>
      <c r="X1101" s="14" t="str">
        <f t="shared" si="114"/>
        <v>Данные не заполены</v>
      </c>
      <c r="Y1101" s="15">
        <f t="shared" si="120"/>
        <v>0</v>
      </c>
    </row>
    <row r="1102" hidden="1">
      <c r="A1102" s="7">
        <v>44118.832510844906</v>
      </c>
      <c r="B1102" s="8" t="s">
        <v>89</v>
      </c>
      <c r="C1102" s="8">
        <v>22011.0</v>
      </c>
      <c r="D1102" s="8" t="s">
        <v>27</v>
      </c>
      <c r="E1102" s="8" t="s">
        <v>66</v>
      </c>
      <c r="G1102" s="8">
        <v>3622.0</v>
      </c>
      <c r="H1102" s="8" t="s">
        <v>29</v>
      </c>
      <c r="I1102" s="8" t="s">
        <v>90</v>
      </c>
      <c r="L1102" s="8" t="s">
        <v>31</v>
      </c>
      <c r="M1102" s="8" t="s">
        <v>34</v>
      </c>
      <c r="P1102" s="9">
        <v>44118.0</v>
      </c>
      <c r="Q1102" s="10">
        <v>0.16666666666424135</v>
      </c>
      <c r="R1102" s="11" t="str">
        <f t="shared" si="1"/>
        <v>Проверка первой платы до оплавления</v>
      </c>
      <c r="S1102" s="16" t="str">
        <f>iferror(VLOOKUP(C1102,'ФИО'!A:B,2,0),"учётный код не найден")</f>
        <v>Сергеев Алексей Андреевич</v>
      </c>
      <c r="T1102" s="13" t="str">
        <f t="shared" si="2"/>
        <v>915-00124.A - Tioga Pass_v1.1 (Гагар.ин)</v>
      </c>
      <c r="U1102" s="8">
        <v>1.0</v>
      </c>
      <c r="V1102" s="8">
        <v>0.0</v>
      </c>
      <c r="W1102" s="17" t="str">
        <f t="shared" si="119"/>
        <v>Данные не заполены</v>
      </c>
      <c r="X1102" s="14" t="str">
        <f t="shared" si="114"/>
        <v>Данные не заполены</v>
      </c>
      <c r="Y1102" s="15">
        <f t="shared" si="120"/>
        <v>0</v>
      </c>
    </row>
    <row r="1103" hidden="1">
      <c r="A1103" s="7">
        <v>44122.827486145834</v>
      </c>
      <c r="B1103" s="8" t="s">
        <v>87</v>
      </c>
      <c r="C1103" s="8">
        <v>21928.0</v>
      </c>
      <c r="D1103" s="8" t="s">
        <v>27</v>
      </c>
      <c r="E1103" s="8" t="s">
        <v>66</v>
      </c>
      <c r="G1103" s="8">
        <v>3754.0</v>
      </c>
      <c r="H1103" s="8" t="s">
        <v>45</v>
      </c>
      <c r="K1103" s="8" t="s">
        <v>124</v>
      </c>
      <c r="L1103" s="8" t="s">
        <v>37</v>
      </c>
      <c r="P1103" s="9">
        <v>44122.0</v>
      </c>
      <c r="Q1103" s="10">
        <v>0.020833333335758653</v>
      </c>
      <c r="R1103" s="11" t="str">
        <f t="shared" si="1"/>
        <v>Проверка первой платы до оплавления</v>
      </c>
      <c r="S1103" s="16" t="str">
        <f>iferror(VLOOKUP(C1103,'ФИО'!A:B,2,0),"учётный код не найден")</f>
        <v>Савченко Виктория Андреевна</v>
      </c>
      <c r="T1103" s="13" t="str">
        <f t="shared" si="2"/>
        <v>ПУ 910-00120.D - Печатный узел модуля 2CAN+LIN</v>
      </c>
      <c r="U1103" s="8">
        <v>1.0</v>
      </c>
      <c r="V1103" s="8">
        <v>0.0</v>
      </c>
      <c r="X1103" s="14" t="str">
        <f t="shared" si="114"/>
        <v>Данные не заполены</v>
      </c>
      <c r="Y1103" s="15">
        <f t="shared" si="120"/>
        <v>0</v>
      </c>
    </row>
    <row r="1104" hidden="1">
      <c r="A1104" s="7">
        <v>44133.32048621528</v>
      </c>
      <c r="B1104" s="8" t="s">
        <v>38</v>
      </c>
      <c r="C1104" s="8">
        <v>21475.0</v>
      </c>
      <c r="D1104" s="8" t="s">
        <v>27</v>
      </c>
      <c r="E1104" s="8" t="s">
        <v>88</v>
      </c>
      <c r="G1104" s="8">
        <v>3802.0</v>
      </c>
      <c r="H1104" s="8" t="s">
        <v>45</v>
      </c>
      <c r="K1104" s="8" t="s">
        <v>120</v>
      </c>
      <c r="L1104" s="8" t="s">
        <v>37</v>
      </c>
      <c r="P1104" s="9">
        <v>44132.0</v>
      </c>
      <c r="Q1104" s="10">
        <v>0.020833333335758653</v>
      </c>
      <c r="R1104" s="11" t="str">
        <f t="shared" si="1"/>
        <v>Сборка на линии Sec</v>
      </c>
      <c r="S1104" s="12" t="str">
        <f>iferror(VLOOKUP(C1104,'ФИО'!A:B,2,0),"учётный код не найден")</f>
        <v>Байрамашвили Альберт Зурабович</v>
      </c>
      <c r="T1104" s="13" t="str">
        <f t="shared" si="2"/>
        <v>М15ECO (900-00030.С) 910-00034.C/910-00041.C</v>
      </c>
      <c r="U1104" s="8">
        <v>0.0</v>
      </c>
      <c r="V1104" s="8">
        <v>0.0</v>
      </c>
      <c r="X1104" s="14" t="str">
        <f t="shared" si="114"/>
        <v>Данные не заполены</v>
      </c>
      <c r="Y1104" s="15">
        <f t="shared" si="120"/>
        <v>0</v>
      </c>
    </row>
    <row r="1105" hidden="1">
      <c r="A1105" s="7">
        <v>44119.304816284726</v>
      </c>
      <c r="B1105" s="8" t="s">
        <v>94</v>
      </c>
      <c r="C1105" s="8">
        <v>22575.0</v>
      </c>
      <c r="D1105" s="8" t="s">
        <v>69</v>
      </c>
      <c r="F1105" s="8" t="s">
        <v>207</v>
      </c>
      <c r="G1105" s="8">
        <v>3580.0</v>
      </c>
      <c r="H1105" s="8" t="s">
        <v>29</v>
      </c>
      <c r="I1105" s="8" t="s">
        <v>145</v>
      </c>
      <c r="L1105" s="8" t="s">
        <v>31</v>
      </c>
      <c r="M1105" s="8" t="s">
        <v>34</v>
      </c>
      <c r="P1105" s="9">
        <v>44118.0</v>
      </c>
      <c r="Q1105" s="10">
        <v>0.006944444445252884</v>
      </c>
      <c r="R1105" s="11" t="str">
        <f t="shared" si="1"/>
        <v>Проверка первой платы после пайки</v>
      </c>
      <c r="S1105" s="16" t="str">
        <f>iferror(VLOOKUP(C1105,'ФИО'!A:B,2,0),"учётный код не найден")</f>
        <v>Куликов Виктор Алексеевич</v>
      </c>
      <c r="T1105" s="13" t="str">
        <f t="shared" si="2"/>
        <v>XR (OÜ KLARBERG)</v>
      </c>
      <c r="U1105" s="8">
        <v>1.0</v>
      </c>
      <c r="V1105" s="8">
        <v>0.0</v>
      </c>
      <c r="W1105" s="17" t="str">
        <f t="shared" ref="W1105:W1124" si="121">IFERROR((((38412/(ifs(O1105&lt;35,35,O1105&gt;34,O1105)/N1105)*0.7))),"Данные не заполены")</f>
        <v>Данные не заполены</v>
      </c>
      <c r="X1105" s="14" t="str">
        <f t="shared" si="114"/>
        <v>Данные не заполены</v>
      </c>
      <c r="Y1105" s="15">
        <f t="shared" si="120"/>
        <v>0</v>
      </c>
    </row>
    <row r="1106" hidden="1">
      <c r="A1106" s="7">
        <v>44131.82916756945</v>
      </c>
      <c r="B1106" s="8" t="s">
        <v>87</v>
      </c>
      <c r="C1106" s="8">
        <v>21928.0</v>
      </c>
      <c r="D1106" s="8" t="s">
        <v>27</v>
      </c>
      <c r="E1106" s="8" t="s">
        <v>66</v>
      </c>
      <c r="G1106" s="8">
        <v>3621.0</v>
      </c>
      <c r="H1106" s="8" t="s">
        <v>29</v>
      </c>
      <c r="I1106" s="8" t="s">
        <v>54</v>
      </c>
      <c r="L1106" s="8" t="s">
        <v>31</v>
      </c>
      <c r="M1106" s="8" t="s">
        <v>34</v>
      </c>
      <c r="P1106" s="9">
        <v>44131.0</v>
      </c>
      <c r="Q1106" s="10">
        <v>0.020833333335758653</v>
      </c>
      <c r="R1106" s="11" t="str">
        <f t="shared" si="1"/>
        <v>Проверка первой платы до оплавления</v>
      </c>
      <c r="S1106" s="12" t="str">
        <f>iferror(VLOOKUP(C1106,'ФИО'!A:B,2,0),"учётный код не найден")</f>
        <v>Савченко Виктория Андреевна</v>
      </c>
      <c r="T1106" s="13" t="str">
        <f t="shared" si="2"/>
        <v>915-00121.A - Процессорный модуль РСЕН.469555.027 (КНС Групп)</v>
      </c>
      <c r="U1106" s="8">
        <v>0.0</v>
      </c>
      <c r="V1106" s="8">
        <v>0.0</v>
      </c>
      <c r="W1106" s="17" t="str">
        <f t="shared" si="121"/>
        <v>Данные не заполены</v>
      </c>
      <c r="X1106" s="14" t="str">
        <f t="shared" si="114"/>
        <v>Данные не заполены</v>
      </c>
      <c r="Y1106" s="15">
        <f t="shared" si="120"/>
        <v>0</v>
      </c>
    </row>
    <row r="1107" hidden="1">
      <c r="A1107" s="7">
        <v>44110.14599928241</v>
      </c>
      <c r="B1107" s="8" t="s">
        <v>94</v>
      </c>
      <c r="C1107" s="8">
        <v>20985.0</v>
      </c>
      <c r="D1107" s="8" t="s">
        <v>69</v>
      </c>
      <c r="F1107" s="8" t="s">
        <v>207</v>
      </c>
      <c r="G1107" s="8">
        <v>3232.0</v>
      </c>
      <c r="H1107" s="8" t="s">
        <v>29</v>
      </c>
      <c r="I1107" s="8" t="s">
        <v>60</v>
      </c>
      <c r="L1107" s="8" t="s">
        <v>31</v>
      </c>
      <c r="M1107" s="8" t="s">
        <v>34</v>
      </c>
      <c r="N1107" s="8"/>
      <c r="O1107" s="8"/>
      <c r="P1107" s="9">
        <v>44109.0</v>
      </c>
      <c r="Q1107" s="10">
        <v>0.0034722222189884633</v>
      </c>
      <c r="R1107" s="11" t="str">
        <f t="shared" si="1"/>
        <v>Проверка первой платы после пайки</v>
      </c>
      <c r="S1107" s="16" t="str">
        <f>iferror(VLOOKUP(C1107,'ФИО'!A:B,2,0),"учётный код не найден")</f>
        <v>Никонорова Наталия Владимировна</v>
      </c>
      <c r="T1107" s="13" t="str">
        <f t="shared" si="2"/>
        <v>915-00102.A - ПБОК-2В АСЛБ.465285.013 (Квант)</v>
      </c>
      <c r="U1107" s="8">
        <v>1.0</v>
      </c>
      <c r="V1107" s="8">
        <v>0.0</v>
      </c>
      <c r="W1107" s="21" t="str">
        <f t="shared" si="121"/>
        <v>Данные не заполены</v>
      </c>
      <c r="X1107" s="15" t="str">
        <f t="shared" si="114"/>
        <v>Данные не заполены</v>
      </c>
      <c r="Y1107" s="15">
        <f t="shared" si="120"/>
        <v>0</v>
      </c>
    </row>
    <row r="1108" hidden="1">
      <c r="A1108" s="7">
        <v>44119.30652709491</v>
      </c>
      <c r="B1108" s="8" t="s">
        <v>94</v>
      </c>
      <c r="C1108" s="8">
        <v>22575.0</v>
      </c>
      <c r="D1108" s="8" t="s">
        <v>69</v>
      </c>
      <c r="F1108" s="8" t="s">
        <v>72</v>
      </c>
      <c r="G1108" s="8">
        <v>3580.0</v>
      </c>
      <c r="H1108" s="8" t="s">
        <v>29</v>
      </c>
      <c r="I1108" s="8" t="s">
        <v>145</v>
      </c>
      <c r="L1108" s="8" t="s">
        <v>37</v>
      </c>
      <c r="P1108" s="9">
        <v>44118.0</v>
      </c>
      <c r="Q1108" s="10">
        <v>0.14583333333575865</v>
      </c>
      <c r="R1108" s="11" t="str">
        <f t="shared" si="1"/>
        <v>Пайка компонентов PRI</v>
      </c>
      <c r="S1108" s="16" t="str">
        <f>iferror(VLOOKUP(C1108,'ФИО'!A:B,2,0),"учётный код не найден")</f>
        <v>Куликов Виктор Алексеевич</v>
      </c>
      <c r="T1108" s="13" t="str">
        <f t="shared" si="2"/>
        <v>XR (OÜ KLARBERG)</v>
      </c>
      <c r="U1108" s="8">
        <v>0.0</v>
      </c>
      <c r="V1108" s="8">
        <v>0.0</v>
      </c>
      <c r="W1108" s="17" t="str">
        <f t="shared" si="121"/>
        <v>Данные не заполены</v>
      </c>
      <c r="X1108" s="14" t="str">
        <f t="shared" si="114"/>
        <v>Данные не заполены</v>
      </c>
      <c r="Y1108" s="15">
        <f t="shared" si="120"/>
        <v>0</v>
      </c>
    </row>
    <row r="1109" hidden="1">
      <c r="A1109" s="7">
        <v>44105.82196523148</v>
      </c>
      <c r="B1109" s="8" t="s">
        <v>26</v>
      </c>
      <c r="C1109" s="8">
        <v>22087.0</v>
      </c>
      <c r="D1109" s="18" t="s">
        <v>27</v>
      </c>
      <c r="E1109" s="8" t="s">
        <v>68</v>
      </c>
      <c r="G1109" s="11"/>
      <c r="L1109" s="18" t="s">
        <v>31</v>
      </c>
      <c r="M1109" s="8" t="s">
        <v>34</v>
      </c>
      <c r="N1109" s="8"/>
      <c r="O1109" s="8"/>
      <c r="P1109" s="19">
        <v>44105.0</v>
      </c>
      <c r="Q1109" s="20">
        <v>0.29166666666424135</v>
      </c>
      <c r="R1109" s="11" t="str">
        <f t="shared" si="1"/>
        <v>Прохождение обучения</v>
      </c>
      <c r="S1109" s="16" t="str">
        <f>iferror(VLOOKUP(C1109,'ФИО'!A:B,2,0),"учётный код не найден")</f>
        <v>Хохряков Илья Александрович</v>
      </c>
      <c r="T1109" s="13" t="str">
        <f t="shared" si="2"/>
        <v/>
      </c>
      <c r="W1109" s="21" t="str">
        <f t="shared" si="121"/>
        <v>Данные не заполены</v>
      </c>
      <c r="X1109" s="15" t="str">
        <f t="shared" si="114"/>
        <v>Данные не заполены</v>
      </c>
      <c r="Y1109" s="15">
        <f t="shared" si="120"/>
        <v>0</v>
      </c>
    </row>
    <row r="1110" hidden="1">
      <c r="A1110" s="7">
        <v>44110.8323790162</v>
      </c>
      <c r="B1110" s="8" t="s">
        <v>89</v>
      </c>
      <c r="C1110" s="8">
        <v>21852.0</v>
      </c>
      <c r="D1110" s="8" t="s">
        <v>27</v>
      </c>
      <c r="E1110" s="8" t="s">
        <v>97</v>
      </c>
      <c r="G1110" s="8">
        <v>3234.0</v>
      </c>
      <c r="H1110" s="8" t="s">
        <v>29</v>
      </c>
      <c r="I1110" s="8" t="s">
        <v>135</v>
      </c>
      <c r="L1110" s="8" t="s">
        <v>37</v>
      </c>
      <c r="P1110" s="9">
        <v>44110.0</v>
      </c>
      <c r="Q1110" s="10">
        <v>0.08333333333575865</v>
      </c>
      <c r="R1110" s="11" t="str">
        <f t="shared" si="1"/>
        <v>Проверка плат на АОИ Prim</v>
      </c>
      <c r="S1110" s="16" t="str">
        <f>iferror(VLOOKUP(C1110,'ФИО'!A:B,2,0),"учётный код не найден")</f>
        <v>Пономарев Юрий Андреевич</v>
      </c>
      <c r="T1110" s="13" t="str">
        <f t="shared" si="2"/>
        <v>915-00101.A - ПКД-9В АСЛБ.467249.107 (Квант)</v>
      </c>
      <c r="U1110" s="8">
        <v>0.0</v>
      </c>
      <c r="V1110" s="8">
        <v>4.0</v>
      </c>
      <c r="W1110" s="21" t="str">
        <f t="shared" si="121"/>
        <v>Данные не заполены</v>
      </c>
      <c r="X1110" s="15" t="str">
        <f t="shared" si="114"/>
        <v>Данные не заполены</v>
      </c>
      <c r="Y1110" s="15">
        <f t="shared" si="120"/>
        <v>4</v>
      </c>
    </row>
    <row r="1111" hidden="1">
      <c r="A1111" s="7">
        <v>44111.2849353125</v>
      </c>
      <c r="B1111" s="8" t="s">
        <v>94</v>
      </c>
      <c r="C1111" s="8">
        <v>22131.0</v>
      </c>
      <c r="D1111" s="8" t="s">
        <v>27</v>
      </c>
      <c r="E1111" s="8" t="s">
        <v>97</v>
      </c>
      <c r="G1111" s="8">
        <v>3234.0</v>
      </c>
      <c r="H1111" s="8" t="s">
        <v>29</v>
      </c>
      <c r="I1111" s="8" t="s">
        <v>135</v>
      </c>
      <c r="L1111" s="8" t="s">
        <v>31</v>
      </c>
      <c r="M1111" s="8" t="s">
        <v>149</v>
      </c>
      <c r="N1111" s="8"/>
      <c r="O1111" s="8"/>
      <c r="P1111" s="9">
        <v>44110.0</v>
      </c>
      <c r="Q1111" s="10">
        <v>0.125</v>
      </c>
      <c r="R1111" s="11" t="str">
        <f t="shared" si="1"/>
        <v>Проверка плат на АОИ Prim</v>
      </c>
      <c r="S1111" s="16" t="str">
        <f>iferror(VLOOKUP(C1111,'ФИО'!A:B,2,0),"учётный код не найден")</f>
        <v>Стосик Степан Владимирович</v>
      </c>
      <c r="T1111" s="13" t="str">
        <f t="shared" si="2"/>
        <v>915-00101.A - ПКД-9В АСЛБ.467249.107 (Квант)</v>
      </c>
      <c r="U1111" s="8">
        <v>3.0</v>
      </c>
      <c r="V1111" s="8">
        <v>62.0</v>
      </c>
      <c r="W1111" s="21" t="str">
        <f t="shared" si="121"/>
        <v>Данные не заполены</v>
      </c>
      <c r="X1111" s="15" t="str">
        <f t="shared" si="114"/>
        <v>Данные не заполены</v>
      </c>
      <c r="Y1111" s="15">
        <f t="shared" si="120"/>
        <v>20.66666667</v>
      </c>
      <c r="Z1111" s="8" t="s">
        <v>267</v>
      </c>
    </row>
    <row r="1112" hidden="1">
      <c r="A1112" s="7">
        <v>44111.820045</v>
      </c>
      <c r="B1112" s="8" t="s">
        <v>89</v>
      </c>
      <c r="C1112" s="8">
        <v>21954.0</v>
      </c>
      <c r="D1112" s="8" t="s">
        <v>27</v>
      </c>
      <c r="E1112" s="8" t="s">
        <v>97</v>
      </c>
      <c r="G1112" s="8">
        <v>3580.0</v>
      </c>
      <c r="H1112" s="8" t="s">
        <v>29</v>
      </c>
      <c r="I1112" s="8" t="s">
        <v>146</v>
      </c>
      <c r="L1112" s="8" t="s">
        <v>37</v>
      </c>
      <c r="P1112" s="9">
        <v>44111.0</v>
      </c>
      <c r="Q1112" s="10">
        <v>0.33333333333575865</v>
      </c>
      <c r="R1112" s="11" t="str">
        <f t="shared" si="1"/>
        <v>Проверка плат на АОИ Prim</v>
      </c>
      <c r="S1112" s="16" t="str">
        <f>iferror(VLOOKUP(C1112,'ФИО'!A:B,2,0),"учётный код не найден")</f>
        <v>Александров Александр Викторович</v>
      </c>
      <c r="T1112" s="13" t="str">
        <f t="shared" si="2"/>
        <v>XR (Термотроник)</v>
      </c>
      <c r="U1112" s="8">
        <v>655.0</v>
      </c>
      <c r="V1112" s="8">
        <v>279.0</v>
      </c>
      <c r="W1112" s="21" t="str">
        <f t="shared" si="121"/>
        <v>Данные не заполены</v>
      </c>
      <c r="X1112" s="15" t="str">
        <f t="shared" si="114"/>
        <v>Данные не заполены</v>
      </c>
      <c r="Y1112" s="15">
        <f t="shared" si="120"/>
        <v>0.4259541985</v>
      </c>
      <c r="Z1112" s="8" t="s">
        <v>268</v>
      </c>
    </row>
    <row r="1113" hidden="1">
      <c r="A1113" s="7">
        <v>44114.82001241898</v>
      </c>
      <c r="B1113" s="8" t="s">
        <v>87</v>
      </c>
      <c r="C1113" s="8">
        <v>20985.0</v>
      </c>
      <c r="D1113" s="8" t="s">
        <v>27</v>
      </c>
      <c r="E1113" s="8" t="s">
        <v>97</v>
      </c>
      <c r="G1113" s="8">
        <v>3750.0</v>
      </c>
      <c r="H1113" s="8" t="s">
        <v>45</v>
      </c>
      <c r="K1113" s="8" t="s">
        <v>46</v>
      </c>
      <c r="L1113" s="8" t="s">
        <v>37</v>
      </c>
      <c r="P1113" s="9">
        <v>44114.0</v>
      </c>
      <c r="Q1113" s="10">
        <v>0.04166666666424135</v>
      </c>
      <c r="R1113" s="11" t="str">
        <f t="shared" si="1"/>
        <v>Проверка плат на АОИ Prim</v>
      </c>
      <c r="S1113" s="16" t="str">
        <f>iferror(VLOOKUP(C1113,'ФИО'!A:B,2,0),"учётный код не найден")</f>
        <v>Никонорова Наталия Владимировна</v>
      </c>
      <c r="T1113" s="13" t="str">
        <f t="shared" si="2"/>
        <v>ПУ 910-00349.A "Печатный узел основного блока E96 4LIN"</v>
      </c>
      <c r="U1113" s="8">
        <v>0.0</v>
      </c>
      <c r="V1113" s="8">
        <v>0.0</v>
      </c>
      <c r="W1113" s="21" t="str">
        <f t="shared" si="121"/>
        <v>Данные не заполены</v>
      </c>
      <c r="X1113" s="15" t="str">
        <f t="shared" si="114"/>
        <v>Данные не заполены</v>
      </c>
      <c r="Y1113" s="15">
        <f t="shared" si="120"/>
        <v>0</v>
      </c>
    </row>
    <row r="1114" hidden="1">
      <c r="A1114" s="7">
        <v>44114.824749120366</v>
      </c>
      <c r="B1114" s="8" t="s">
        <v>87</v>
      </c>
      <c r="C1114" s="8">
        <v>21928.0</v>
      </c>
      <c r="D1114" s="8" t="s">
        <v>27</v>
      </c>
      <c r="E1114" s="8" t="s">
        <v>97</v>
      </c>
      <c r="G1114" s="8">
        <v>3750.0</v>
      </c>
      <c r="H1114" s="8" t="s">
        <v>45</v>
      </c>
      <c r="K1114" s="8" t="s">
        <v>46</v>
      </c>
      <c r="L1114" s="8" t="s">
        <v>37</v>
      </c>
      <c r="P1114" s="9">
        <v>44114.0</v>
      </c>
      <c r="Q1114" s="10">
        <v>0.39583333333575865</v>
      </c>
      <c r="R1114" s="11" t="str">
        <f t="shared" si="1"/>
        <v>Проверка плат на АОИ Prim</v>
      </c>
      <c r="S1114" s="16" t="str">
        <f>iferror(VLOOKUP(C1114,'ФИО'!A:B,2,0),"учётный код не найден")</f>
        <v>Савченко Виктория Андреевна</v>
      </c>
      <c r="T1114" s="13" t="str">
        <f t="shared" si="2"/>
        <v>ПУ 910-00349.A "Печатный узел основного блока E96 4LIN"</v>
      </c>
      <c r="U1114" s="8">
        <v>428.0</v>
      </c>
      <c r="V1114" s="8">
        <v>196.0</v>
      </c>
      <c r="W1114" s="21" t="str">
        <f t="shared" si="121"/>
        <v>Данные не заполены</v>
      </c>
      <c r="X1114" s="15" t="str">
        <f t="shared" si="114"/>
        <v>Данные не заполены</v>
      </c>
      <c r="Y1114" s="15">
        <f t="shared" si="120"/>
        <v>0.4579439252</v>
      </c>
      <c r="Z1114" s="8" t="s">
        <v>269</v>
      </c>
    </row>
    <row r="1115" hidden="1">
      <c r="A1115" s="7">
        <v>44115.324403611114</v>
      </c>
      <c r="B1115" s="8" t="s">
        <v>76</v>
      </c>
      <c r="C1115" s="8">
        <v>20693.0</v>
      </c>
      <c r="D1115" s="8" t="s">
        <v>27</v>
      </c>
      <c r="E1115" s="8" t="s">
        <v>97</v>
      </c>
      <c r="G1115" s="8">
        <v>3750.0</v>
      </c>
      <c r="H1115" s="8" t="s">
        <v>45</v>
      </c>
      <c r="K1115" s="8" t="s">
        <v>46</v>
      </c>
      <c r="L1115" s="8" t="s">
        <v>37</v>
      </c>
      <c r="P1115" s="9">
        <v>44114.0</v>
      </c>
      <c r="Q1115" s="10">
        <v>0.41666666666424135</v>
      </c>
      <c r="R1115" s="11" t="str">
        <f t="shared" si="1"/>
        <v>Проверка плат на АОИ Prim</v>
      </c>
      <c r="S1115" s="16" t="str">
        <f>iferror(VLOOKUP(C1115,'ФИО'!A:B,2,0),"учётный код не найден")</f>
        <v>Аникина Раиса Владимировна</v>
      </c>
      <c r="T1115" s="13" t="str">
        <f t="shared" si="2"/>
        <v>ПУ 910-00349.A "Печатный узел основного блока E96 4LIN"</v>
      </c>
      <c r="U1115" s="8">
        <v>371.0</v>
      </c>
      <c r="V1115" s="8">
        <v>743.0</v>
      </c>
      <c r="W1115" s="21" t="str">
        <f t="shared" si="121"/>
        <v>Данные не заполены</v>
      </c>
      <c r="X1115" s="15" t="str">
        <f t="shared" si="114"/>
        <v>Данные не заполены</v>
      </c>
      <c r="Y1115" s="15">
        <f t="shared" si="120"/>
        <v>2.002695418</v>
      </c>
      <c r="Z1115" s="8" t="s">
        <v>270</v>
      </c>
    </row>
    <row r="1116" hidden="1">
      <c r="A1116" s="7">
        <v>44126.32612637732</v>
      </c>
      <c r="B1116" s="8" t="s">
        <v>94</v>
      </c>
      <c r="C1116" s="8">
        <v>21928.0</v>
      </c>
      <c r="D1116" s="8" t="s">
        <v>27</v>
      </c>
      <c r="E1116" s="8" t="s">
        <v>97</v>
      </c>
      <c r="G1116" s="8">
        <v>3804.0</v>
      </c>
      <c r="H1116" s="8" t="s">
        <v>45</v>
      </c>
      <c r="K1116" s="8" t="s">
        <v>52</v>
      </c>
      <c r="L1116" s="8" t="s">
        <v>37</v>
      </c>
      <c r="P1116" s="9">
        <v>44125.0</v>
      </c>
      <c r="Q1116" s="10">
        <v>0.04861111110949423</v>
      </c>
      <c r="R1116" s="11" t="str">
        <f t="shared" si="1"/>
        <v>Проверка плат на АОИ Prim</v>
      </c>
      <c r="S1116" s="16" t="str">
        <f>iferror(VLOOKUP(C1116,'ФИО'!A:B,2,0),"учётный код не найден")</f>
        <v>Савченко Виктория Андреевна</v>
      </c>
      <c r="T1116" s="13" t="str">
        <f t="shared" si="2"/>
        <v>М17V2 (900-00018.D)_910-00023.H и ПУ 910-00012.I</v>
      </c>
      <c r="U1116" s="8">
        <v>144.0</v>
      </c>
      <c r="V1116" s="8">
        <v>76.0</v>
      </c>
      <c r="W1116" s="17" t="str">
        <f t="shared" si="121"/>
        <v>Данные не заполены</v>
      </c>
      <c r="X1116" s="14" t="str">
        <f t="shared" si="114"/>
        <v>Данные не заполены</v>
      </c>
      <c r="Y1116" s="15">
        <f t="shared" si="120"/>
        <v>0.5277777778</v>
      </c>
    </row>
    <row r="1117" hidden="1">
      <c r="A1117" s="7">
        <v>44126.31775134259</v>
      </c>
      <c r="B1117" s="8" t="s">
        <v>94</v>
      </c>
      <c r="C1117" s="8">
        <v>21426.0</v>
      </c>
      <c r="D1117" s="8" t="s">
        <v>27</v>
      </c>
      <c r="E1117" s="8" t="s">
        <v>97</v>
      </c>
      <c r="G1117" s="8">
        <v>3253.0</v>
      </c>
      <c r="H1117" s="8" t="s">
        <v>29</v>
      </c>
      <c r="I1117" s="8" t="s">
        <v>95</v>
      </c>
      <c r="L1117" s="8" t="s">
        <v>37</v>
      </c>
      <c r="P1117" s="9">
        <v>44125.0</v>
      </c>
      <c r="Q1117" s="10">
        <v>0.125</v>
      </c>
      <c r="R1117" s="11" t="str">
        <f t="shared" si="1"/>
        <v>Проверка плат на АОИ Prim</v>
      </c>
      <c r="S1117" s="16" t="str">
        <f>iferror(VLOOKUP(C1117,'ФИО'!A:B,2,0),"учётный код не найден")</f>
        <v>Скибинский Антон Германович</v>
      </c>
      <c r="T1117" s="13" t="str">
        <f t="shared" si="2"/>
        <v>915-00095.A - ПКД-8В-1 АСЛБ.467249.108 (Квант)</v>
      </c>
      <c r="U1117" s="8">
        <v>3.0</v>
      </c>
      <c r="V1117" s="8">
        <v>15.0</v>
      </c>
      <c r="W1117" s="17" t="str">
        <f t="shared" si="121"/>
        <v>Данные не заполены</v>
      </c>
      <c r="X1117" s="14" t="str">
        <f t="shared" si="114"/>
        <v>Данные не заполены</v>
      </c>
      <c r="Y1117" s="15">
        <f t="shared" si="120"/>
        <v>5</v>
      </c>
    </row>
    <row r="1118" hidden="1">
      <c r="A1118" s="7">
        <v>44126.31903755787</v>
      </c>
      <c r="B1118" s="8" t="s">
        <v>94</v>
      </c>
      <c r="C1118" s="8">
        <v>21426.0</v>
      </c>
      <c r="D1118" s="8" t="s">
        <v>27</v>
      </c>
      <c r="E1118" s="8" t="s">
        <v>97</v>
      </c>
      <c r="G1118" s="8">
        <v>3252.0</v>
      </c>
      <c r="H1118" s="8" t="s">
        <v>29</v>
      </c>
      <c r="I1118" s="8" t="s">
        <v>96</v>
      </c>
      <c r="L1118" s="8" t="s">
        <v>37</v>
      </c>
      <c r="P1118" s="9">
        <v>44125.0</v>
      </c>
      <c r="Q1118" s="10">
        <v>0.125</v>
      </c>
      <c r="R1118" s="11" t="str">
        <f t="shared" si="1"/>
        <v>Проверка плат на АОИ Prim</v>
      </c>
      <c r="S1118" s="16" t="str">
        <f>iferror(VLOOKUP(C1118,'ФИО'!A:B,2,0),"учётный код не найден")</f>
        <v>Скибинский Антон Германович</v>
      </c>
      <c r="T1118" s="13" t="str">
        <f t="shared" si="2"/>
        <v>915-00096.A - ПКД-8В-2 АСЛБ.467249.109</v>
      </c>
      <c r="U1118" s="8">
        <v>21.0</v>
      </c>
      <c r="V1118" s="8">
        <v>21.0</v>
      </c>
      <c r="W1118" s="17" t="str">
        <f t="shared" si="121"/>
        <v>Данные не заполены</v>
      </c>
      <c r="X1118" s="14" t="str">
        <f t="shared" si="114"/>
        <v>Данные не заполены</v>
      </c>
      <c r="Y1118" s="15">
        <f t="shared" si="120"/>
        <v>1</v>
      </c>
    </row>
    <row r="1119" hidden="1">
      <c r="A1119" s="7">
        <v>44126.827945439814</v>
      </c>
      <c r="B1119" s="8" t="s">
        <v>89</v>
      </c>
      <c r="C1119" s="8">
        <v>21504.0</v>
      </c>
      <c r="D1119" s="8" t="s">
        <v>27</v>
      </c>
      <c r="E1119" s="8" t="s">
        <v>97</v>
      </c>
      <c r="G1119" s="8">
        <v>3804.0</v>
      </c>
      <c r="H1119" s="8" t="s">
        <v>45</v>
      </c>
      <c r="K1119" s="8" t="s">
        <v>52</v>
      </c>
      <c r="L1119" s="8" t="s">
        <v>37</v>
      </c>
      <c r="P1119" s="9">
        <v>44126.0</v>
      </c>
      <c r="Q1119" s="10">
        <v>0.1875</v>
      </c>
      <c r="R1119" s="11" t="str">
        <f t="shared" si="1"/>
        <v>Проверка плат на АОИ Prim</v>
      </c>
      <c r="S1119" s="16" t="str">
        <f>iferror(VLOOKUP(C1119,'ФИО'!A:B,2,0),"учётный код не найден")</f>
        <v>Александрова Елена Сергеевна</v>
      </c>
      <c r="T1119" s="13" t="str">
        <f t="shared" si="2"/>
        <v>М17V2 (900-00018.D)_910-00023.H и ПУ 910-00012.I</v>
      </c>
      <c r="U1119" s="8">
        <v>4520.0</v>
      </c>
      <c r="V1119" s="8">
        <v>259.0</v>
      </c>
      <c r="W1119" s="17" t="str">
        <f t="shared" si="121"/>
        <v>Данные не заполены</v>
      </c>
      <c r="X1119" s="14" t="str">
        <f t="shared" si="114"/>
        <v>Данные не заполены</v>
      </c>
      <c r="Y1119" s="15">
        <f t="shared" si="120"/>
        <v>0.05730088496</v>
      </c>
      <c r="Z1119" s="8" t="s">
        <v>271</v>
      </c>
    </row>
    <row r="1120" hidden="1">
      <c r="A1120" s="7">
        <v>44127.201363368054</v>
      </c>
      <c r="B1120" s="8" t="s">
        <v>94</v>
      </c>
      <c r="C1120" s="8">
        <v>21928.0</v>
      </c>
      <c r="D1120" s="8" t="s">
        <v>27</v>
      </c>
      <c r="E1120" s="8" t="s">
        <v>97</v>
      </c>
      <c r="G1120" s="8">
        <v>3804.0</v>
      </c>
      <c r="H1120" s="8" t="s">
        <v>45</v>
      </c>
      <c r="K1120" s="8" t="s">
        <v>52</v>
      </c>
      <c r="L1120" s="8" t="s">
        <v>37</v>
      </c>
      <c r="P1120" s="9">
        <v>44125.0</v>
      </c>
      <c r="Q1120" s="10">
        <v>0.04861111110949423</v>
      </c>
      <c r="R1120" s="11" t="str">
        <f t="shared" si="1"/>
        <v>Проверка плат на АОИ Prim</v>
      </c>
      <c r="S1120" s="16" t="str">
        <f>iferror(VLOOKUP(C1120,'ФИО'!A:B,2,0),"учётный код не найден")</f>
        <v>Савченко Виктория Андреевна</v>
      </c>
      <c r="T1120" s="13" t="str">
        <f t="shared" si="2"/>
        <v>М17V2 (900-00018.D)_910-00023.H и ПУ 910-00012.I</v>
      </c>
      <c r="U1120" s="8">
        <v>144.0</v>
      </c>
      <c r="V1120" s="8">
        <v>76.0</v>
      </c>
      <c r="W1120" s="17" t="str">
        <f t="shared" si="121"/>
        <v>Данные не заполены</v>
      </c>
      <c r="X1120" s="14" t="str">
        <f t="shared" si="114"/>
        <v>Данные не заполены</v>
      </c>
      <c r="Y1120" s="15">
        <f t="shared" si="120"/>
        <v>0.5277777778</v>
      </c>
    </row>
    <row r="1121" hidden="1">
      <c r="A1121" s="7">
        <v>44127.29688034722</v>
      </c>
      <c r="B1121" s="8" t="s">
        <v>94</v>
      </c>
      <c r="C1121" s="8">
        <v>21426.0</v>
      </c>
      <c r="D1121" s="8" t="s">
        <v>27</v>
      </c>
      <c r="E1121" s="8" t="s">
        <v>97</v>
      </c>
      <c r="G1121" s="8">
        <v>3804.0</v>
      </c>
      <c r="H1121" s="8" t="s">
        <v>45</v>
      </c>
      <c r="K1121" s="8" t="s">
        <v>52</v>
      </c>
      <c r="L1121" s="8" t="s">
        <v>37</v>
      </c>
      <c r="P1121" s="9">
        <v>44126.0</v>
      </c>
      <c r="Q1121" s="10">
        <v>0.41666666666424135</v>
      </c>
      <c r="R1121" s="11" t="str">
        <f t="shared" si="1"/>
        <v>Проверка плат на АОИ Prim</v>
      </c>
      <c r="S1121" s="16" t="str">
        <f>iferror(VLOOKUP(C1121,'ФИО'!A:B,2,0),"учётный код не найден")</f>
        <v>Скибинский Антон Германович</v>
      </c>
      <c r="T1121" s="13" t="str">
        <f t="shared" si="2"/>
        <v>М17V2 (900-00018.D)_910-00023.H и ПУ 910-00012.I</v>
      </c>
      <c r="U1121" s="8">
        <v>4835.0</v>
      </c>
      <c r="V1121" s="8">
        <v>205.0</v>
      </c>
      <c r="W1121" s="17" t="str">
        <f t="shared" si="121"/>
        <v>Данные не заполены</v>
      </c>
      <c r="X1121" s="14" t="str">
        <f t="shared" si="114"/>
        <v>Данные не заполены</v>
      </c>
      <c r="Y1121" s="15">
        <f t="shared" si="120"/>
        <v>0.0423991727</v>
      </c>
    </row>
    <row r="1122" hidden="1">
      <c r="A1122" s="7">
        <v>44130.80559949074</v>
      </c>
      <c r="B1122" s="8" t="s">
        <v>87</v>
      </c>
      <c r="C1122" s="8">
        <v>21426.0</v>
      </c>
      <c r="D1122" s="8" t="s">
        <v>27</v>
      </c>
      <c r="E1122" s="8" t="s">
        <v>97</v>
      </c>
      <c r="G1122" s="8">
        <v>3793.0</v>
      </c>
      <c r="H1122" s="8" t="s">
        <v>29</v>
      </c>
      <c r="I1122" s="8" t="s">
        <v>163</v>
      </c>
      <c r="L1122" s="8" t="s">
        <v>37</v>
      </c>
      <c r="P1122" s="9">
        <v>44130.0</v>
      </c>
      <c r="Q1122" s="10">
        <v>0.08333333333575865</v>
      </c>
      <c r="R1122" s="11" t="str">
        <f t="shared" si="1"/>
        <v>Проверка плат на АОИ Prim</v>
      </c>
      <c r="S1122" s="12" t="str">
        <f>iferror(VLOOKUP(C1122,'ФИО'!A:B,2,0),"учётный код не найден")</f>
        <v>Скибинский Антон Германович</v>
      </c>
      <c r="T1122" s="13" t="str">
        <f t="shared" si="2"/>
        <v>915-00068.A - uklsip(s)220_v3.01 (Гефест)</v>
      </c>
      <c r="U1122" s="8">
        <v>0.0</v>
      </c>
      <c r="V1122" s="8">
        <v>0.0</v>
      </c>
      <c r="W1122" s="17" t="str">
        <f t="shared" si="121"/>
        <v>Данные не заполены</v>
      </c>
      <c r="X1122" s="14" t="str">
        <f t="shared" si="114"/>
        <v>Данные не заполены</v>
      </c>
      <c r="Y1122" s="15">
        <f t="shared" si="120"/>
        <v>0</v>
      </c>
    </row>
    <row r="1123" hidden="1">
      <c r="A1123" s="7">
        <v>44130.83139627315</v>
      </c>
      <c r="B1123" s="8" t="s">
        <v>87</v>
      </c>
      <c r="C1123" s="8">
        <v>21928.0</v>
      </c>
      <c r="D1123" s="8" t="s">
        <v>27</v>
      </c>
      <c r="E1123" s="8" t="s">
        <v>97</v>
      </c>
      <c r="G1123" s="8">
        <v>3793.0</v>
      </c>
      <c r="H1123" s="8" t="s">
        <v>29</v>
      </c>
      <c r="I1123" s="8" t="s">
        <v>163</v>
      </c>
      <c r="L1123" s="8" t="s">
        <v>37</v>
      </c>
      <c r="P1123" s="9">
        <v>44130.0</v>
      </c>
      <c r="Q1123" s="10">
        <v>0.33333333333575865</v>
      </c>
      <c r="R1123" s="11" t="str">
        <f t="shared" si="1"/>
        <v>Проверка плат на АОИ Prim</v>
      </c>
      <c r="S1123" s="12" t="str">
        <f>iferror(VLOOKUP(C1123,'ФИО'!A:B,2,0),"учётный код не найден")</f>
        <v>Савченко Виктория Андреевна</v>
      </c>
      <c r="T1123" s="13" t="str">
        <f t="shared" si="2"/>
        <v>915-00068.A - uklsip(s)220_v3.01 (Гефест)</v>
      </c>
      <c r="U1123" s="8">
        <v>2552.0</v>
      </c>
      <c r="V1123" s="8">
        <v>79.0</v>
      </c>
      <c r="W1123" s="17" t="str">
        <f t="shared" si="121"/>
        <v>Данные не заполены</v>
      </c>
      <c r="X1123" s="14" t="str">
        <f t="shared" si="114"/>
        <v>Данные не заполены</v>
      </c>
      <c r="Y1123" s="15">
        <f t="shared" si="120"/>
        <v>0.03095611285</v>
      </c>
    </row>
    <row r="1124" hidden="1">
      <c r="A1124" s="7">
        <v>44131.32289063657</v>
      </c>
      <c r="B1124" s="8" t="s">
        <v>76</v>
      </c>
      <c r="C1124" s="8">
        <v>21504.0</v>
      </c>
      <c r="D1124" s="8" t="s">
        <v>27</v>
      </c>
      <c r="E1124" s="8" t="s">
        <v>97</v>
      </c>
      <c r="G1124" s="8">
        <v>3793.0</v>
      </c>
      <c r="H1124" s="8" t="s">
        <v>29</v>
      </c>
      <c r="I1124" s="8" t="s">
        <v>163</v>
      </c>
      <c r="L1124" s="8" t="s">
        <v>31</v>
      </c>
      <c r="M1124" s="8" t="s">
        <v>272</v>
      </c>
      <c r="P1124" s="9">
        <v>44130.0</v>
      </c>
      <c r="Q1124" s="10">
        <v>0.16666666666424135</v>
      </c>
      <c r="R1124" s="11" t="str">
        <f t="shared" si="1"/>
        <v>Проверка плат на АОИ Prim</v>
      </c>
      <c r="S1124" s="12" t="str">
        <f>iferror(VLOOKUP(C1124,'ФИО'!A:B,2,0),"учётный код не найден")</f>
        <v>Александрова Елена Сергеевна</v>
      </c>
      <c r="T1124" s="13" t="str">
        <f t="shared" si="2"/>
        <v>915-00068.A - uklsip(s)220_v3.01 (Гефест)</v>
      </c>
      <c r="U1124" s="8">
        <v>2296.0</v>
      </c>
      <c r="V1124" s="8">
        <v>77.0</v>
      </c>
      <c r="W1124" s="17" t="str">
        <f t="shared" si="121"/>
        <v>Данные не заполены</v>
      </c>
      <c r="X1124" s="14" t="str">
        <f t="shared" si="114"/>
        <v>Данные не заполены</v>
      </c>
      <c r="Y1124" s="15">
        <f t="shared" si="120"/>
        <v>0.03353658537</v>
      </c>
    </row>
    <row r="1125" hidden="1">
      <c r="A1125" s="7">
        <v>44131.83194559028</v>
      </c>
      <c r="B1125" s="8" t="s">
        <v>87</v>
      </c>
      <c r="C1125" s="8">
        <v>21928.0</v>
      </c>
      <c r="D1125" s="8" t="s">
        <v>27</v>
      </c>
      <c r="E1125" s="8" t="s">
        <v>97</v>
      </c>
      <c r="G1125" s="8">
        <v>3621.0</v>
      </c>
      <c r="H1125" s="8" t="s">
        <v>29</v>
      </c>
      <c r="I1125" s="8" t="s">
        <v>54</v>
      </c>
      <c r="L1125" s="8" t="s">
        <v>37</v>
      </c>
      <c r="P1125" s="9">
        <v>44131.0</v>
      </c>
      <c r="Q1125" s="10">
        <v>0.0625</v>
      </c>
      <c r="R1125" s="11" t="str">
        <f t="shared" si="1"/>
        <v>Проверка плат на АОИ Prim</v>
      </c>
      <c r="S1125" s="12" t="str">
        <f>iferror(VLOOKUP(C1125,'ФИО'!A:B,2,0),"учётный код не найден")</f>
        <v>Савченко Виктория Андреевна</v>
      </c>
      <c r="T1125" s="13" t="str">
        <f t="shared" si="2"/>
        <v>915-00121.A - Процессорный модуль РСЕН.469555.027 (КНС Групп)</v>
      </c>
      <c r="U1125" s="8">
        <v>0.0</v>
      </c>
      <c r="V1125" s="8">
        <v>4.0</v>
      </c>
    </row>
    <row r="1126" hidden="1">
      <c r="A1126" s="7">
        <v>44112.81831307871</v>
      </c>
      <c r="B1126" s="8" t="s">
        <v>26</v>
      </c>
      <c r="C1126" s="8">
        <v>22087.0</v>
      </c>
      <c r="D1126" s="8" t="s">
        <v>27</v>
      </c>
      <c r="E1126" s="8" t="s">
        <v>68</v>
      </c>
      <c r="L1126" s="8" t="s">
        <v>31</v>
      </c>
      <c r="M1126" s="8" t="s">
        <v>34</v>
      </c>
      <c r="N1126" s="8"/>
      <c r="O1126" s="8"/>
      <c r="P1126" s="9">
        <v>44112.0</v>
      </c>
      <c r="Q1126" s="10">
        <v>0.33333333333575865</v>
      </c>
      <c r="R1126" s="11" t="str">
        <f t="shared" si="1"/>
        <v>Прохождение обучения</v>
      </c>
      <c r="S1126" s="16" t="str">
        <f>iferror(VLOOKUP(C1126,'ФИО'!A:B,2,0),"учётный код не найден")</f>
        <v>Хохряков Илья Александрович</v>
      </c>
      <c r="T1126" s="13" t="str">
        <f t="shared" si="2"/>
        <v/>
      </c>
      <c r="W1126" s="21" t="str">
        <f t="shared" ref="W1126:W1131" si="122">IFERROR((((38412/(ifs(O1126&lt;35,35,O1126&gt;34,O1126)/N1126)*0.7))),"Данные не заполены")</f>
        <v>Данные не заполены</v>
      </c>
      <c r="X1126" s="15" t="str">
        <f t="shared" ref="X1126:X1339" si="123">IFERROR((((V1126+U1126)/Q1126)/24)/(W1126/11),"Данные не заполены")</f>
        <v>Данные не заполены</v>
      </c>
      <c r="Y1126" s="15">
        <f t="shared" ref="Y1126:Y1268" si="124">iferror((V1126/if(U1126=0,1,U1126)),0)</f>
        <v>0</v>
      </c>
    </row>
    <row r="1127" hidden="1">
      <c r="A1127" s="7">
        <v>44106.83144743055</v>
      </c>
      <c r="B1127" s="8" t="s">
        <v>87</v>
      </c>
      <c r="C1127" s="8">
        <v>21426.0</v>
      </c>
      <c r="D1127" s="8" t="s">
        <v>27</v>
      </c>
      <c r="E1127" s="8" t="s">
        <v>100</v>
      </c>
      <c r="G1127" s="8">
        <v>3579.0</v>
      </c>
      <c r="H1127" s="8" t="s">
        <v>29</v>
      </c>
      <c r="I1127" s="8" t="s">
        <v>42</v>
      </c>
      <c r="L1127" s="8" t="s">
        <v>37</v>
      </c>
      <c r="P1127" s="9">
        <v>44106.0</v>
      </c>
      <c r="Q1127" s="10">
        <v>0.10416666666424135</v>
      </c>
      <c r="R1127" s="13" t="str">
        <f t="shared" si="1"/>
        <v>Проверка плат на АОИ Sec</v>
      </c>
      <c r="S1127" s="16" t="str">
        <f>iferror(VLOOKUP(C1127,'ФИО'!A:B,2,0),"учётный код не найден")</f>
        <v>Скибинский Антон Германович</v>
      </c>
      <c r="T1127" s="13" t="str">
        <f t="shared" si="2"/>
        <v>915-00070.A - Модуль телематики ТМ1 v3 (Сознательные машины)</v>
      </c>
      <c r="U1127" s="8">
        <v>51.0</v>
      </c>
      <c r="V1127" s="8">
        <v>30.0</v>
      </c>
      <c r="W1127" s="21" t="str">
        <f t="shared" si="122"/>
        <v>Данные не заполены</v>
      </c>
      <c r="X1127" s="15" t="str">
        <f t="shared" si="123"/>
        <v>Данные не заполены</v>
      </c>
      <c r="Y1127" s="15">
        <f t="shared" si="124"/>
        <v>0.5882352941</v>
      </c>
    </row>
    <row r="1128" hidden="1">
      <c r="A1128" s="7">
        <v>44107.310811365736</v>
      </c>
      <c r="B1128" s="8" t="s">
        <v>76</v>
      </c>
      <c r="C1128" s="8">
        <v>21504.0</v>
      </c>
      <c r="D1128" s="8" t="s">
        <v>27</v>
      </c>
      <c r="E1128" s="8" t="s">
        <v>100</v>
      </c>
      <c r="G1128" s="8">
        <v>3579.0</v>
      </c>
      <c r="H1128" s="8" t="s">
        <v>29</v>
      </c>
      <c r="I1128" s="8" t="s">
        <v>42</v>
      </c>
      <c r="L1128" s="8" t="s">
        <v>37</v>
      </c>
      <c r="M1128" s="8" t="s">
        <v>34</v>
      </c>
      <c r="N1128" s="8"/>
      <c r="O1128" s="8"/>
      <c r="P1128" s="9">
        <v>44106.0</v>
      </c>
      <c r="Q1128" s="10">
        <v>0.45833333333575865</v>
      </c>
      <c r="R1128" s="13" t="str">
        <f t="shared" si="1"/>
        <v>Проверка плат на АОИ Sec</v>
      </c>
      <c r="S1128" s="16" t="str">
        <f>iferror(VLOOKUP(C1128,'ФИО'!A:B,2,0),"учётный код не найден")</f>
        <v>Александрова Елена Сергеевна</v>
      </c>
      <c r="T1128" s="13" t="str">
        <f t="shared" si="2"/>
        <v>915-00070.A - Модуль телематики ТМ1 v3 (Сознательные машины)</v>
      </c>
      <c r="U1128" s="8">
        <v>970.0</v>
      </c>
      <c r="V1128" s="8">
        <v>368.0</v>
      </c>
      <c r="W1128" s="21" t="str">
        <f t="shared" si="122"/>
        <v>Данные не заполены</v>
      </c>
      <c r="X1128" s="15" t="str">
        <f t="shared" si="123"/>
        <v>Данные не заполены</v>
      </c>
      <c r="Y1128" s="15">
        <f t="shared" si="124"/>
        <v>0.3793814433</v>
      </c>
      <c r="Z1128" s="27" t="s">
        <v>273</v>
      </c>
    </row>
    <row r="1129" hidden="1">
      <c r="A1129" s="7">
        <v>44110.3143472338</v>
      </c>
      <c r="B1129" s="8" t="s">
        <v>94</v>
      </c>
      <c r="C1129" s="8">
        <v>22131.0</v>
      </c>
      <c r="D1129" s="8" t="s">
        <v>27</v>
      </c>
      <c r="E1129" s="8" t="s">
        <v>100</v>
      </c>
      <c r="G1129" s="8">
        <v>3726.0</v>
      </c>
      <c r="H1129" s="8" t="s">
        <v>45</v>
      </c>
      <c r="K1129" s="8" t="s">
        <v>58</v>
      </c>
      <c r="L1129" s="8" t="s">
        <v>37</v>
      </c>
      <c r="P1129" s="9">
        <v>44109.0</v>
      </c>
      <c r="Q1129" s="10">
        <v>0.08333333333575865</v>
      </c>
      <c r="R1129" s="11" t="str">
        <f t="shared" si="1"/>
        <v>Проверка плат на АОИ Sec</v>
      </c>
      <c r="S1129" s="16" t="str">
        <f>iferror(VLOOKUP(C1129,'ФИО'!A:B,2,0),"учётный код не найден")</f>
        <v>Стосик Степан Владимирович</v>
      </c>
      <c r="T1129" s="13" t="str">
        <f t="shared" si="2"/>
        <v>ПУ метки i95</v>
      </c>
      <c r="U1129" s="8">
        <v>0.0</v>
      </c>
      <c r="V1129" s="8">
        <v>0.0</v>
      </c>
      <c r="W1129" s="21" t="str">
        <f t="shared" si="122"/>
        <v>Данные не заполены</v>
      </c>
      <c r="X1129" s="15" t="str">
        <f t="shared" si="123"/>
        <v>Данные не заполены</v>
      </c>
      <c r="Y1129" s="15">
        <f t="shared" si="124"/>
        <v>0</v>
      </c>
    </row>
    <row r="1130" hidden="1">
      <c r="A1130" s="7">
        <v>44110.33097384259</v>
      </c>
      <c r="B1130" s="8" t="s">
        <v>94</v>
      </c>
      <c r="C1130" s="8">
        <v>21426.0</v>
      </c>
      <c r="D1130" s="8" t="s">
        <v>27</v>
      </c>
      <c r="E1130" s="8" t="s">
        <v>100</v>
      </c>
      <c r="G1130" s="8">
        <v>3726.0</v>
      </c>
      <c r="H1130" s="8" t="s">
        <v>45</v>
      </c>
      <c r="K1130" s="8" t="s">
        <v>58</v>
      </c>
      <c r="L1130" s="8" t="s">
        <v>37</v>
      </c>
      <c r="P1130" s="9">
        <v>44109.0</v>
      </c>
      <c r="Q1130" s="10">
        <v>0.17361111110949423</v>
      </c>
      <c r="R1130" s="11" t="str">
        <f t="shared" si="1"/>
        <v>Проверка плат на АОИ Sec</v>
      </c>
      <c r="S1130" s="16" t="str">
        <f>iferror(VLOOKUP(C1130,'ФИО'!A:B,2,0),"учётный код не найден")</f>
        <v>Скибинский Антон Германович</v>
      </c>
      <c r="T1130" s="13" t="str">
        <f t="shared" si="2"/>
        <v>ПУ метки i95</v>
      </c>
      <c r="U1130" s="8">
        <v>3671.0</v>
      </c>
      <c r="V1130" s="8">
        <v>289.0</v>
      </c>
      <c r="W1130" s="21" t="str">
        <f t="shared" si="122"/>
        <v>Данные не заполены</v>
      </c>
      <c r="X1130" s="15" t="str">
        <f t="shared" si="123"/>
        <v>Данные не заполены</v>
      </c>
      <c r="Y1130" s="15">
        <f t="shared" si="124"/>
        <v>0.07872514301</v>
      </c>
    </row>
    <row r="1131" hidden="1">
      <c r="A1131" s="7">
        <v>44110.830318692126</v>
      </c>
      <c r="B1131" s="8" t="s">
        <v>89</v>
      </c>
      <c r="C1131" s="8">
        <v>21852.0</v>
      </c>
      <c r="D1131" s="8" t="s">
        <v>27</v>
      </c>
      <c r="E1131" s="8" t="s">
        <v>100</v>
      </c>
      <c r="G1131" s="8">
        <v>3726.0</v>
      </c>
      <c r="H1131" s="8" t="s">
        <v>45</v>
      </c>
      <c r="K1131" s="8" t="s">
        <v>58</v>
      </c>
      <c r="L1131" s="8" t="s">
        <v>37</v>
      </c>
      <c r="P1131" s="9">
        <v>44110.0</v>
      </c>
      <c r="Q1131" s="10">
        <v>0.3125</v>
      </c>
      <c r="R1131" s="11" t="str">
        <f t="shared" si="1"/>
        <v>Проверка плат на АОИ Sec</v>
      </c>
      <c r="S1131" s="16" t="str">
        <f>iferror(VLOOKUP(C1131,'ФИО'!A:B,2,0),"учётный код не найден")</f>
        <v>Пономарев Юрий Андреевич</v>
      </c>
      <c r="T1131" s="13" t="str">
        <f t="shared" si="2"/>
        <v>ПУ метки i95</v>
      </c>
      <c r="U1131" s="8">
        <v>1755.0</v>
      </c>
      <c r="V1131" s="8">
        <v>357.0</v>
      </c>
      <c r="W1131" s="21" t="str">
        <f t="shared" si="122"/>
        <v>Данные не заполены</v>
      </c>
      <c r="X1131" s="15" t="str">
        <f t="shared" si="123"/>
        <v>Данные не заполены</v>
      </c>
      <c r="Y1131" s="15">
        <f t="shared" si="124"/>
        <v>0.2034188034</v>
      </c>
      <c r="Z1131" s="8" t="s">
        <v>274</v>
      </c>
    </row>
    <row r="1132" hidden="1">
      <c r="A1132" s="7">
        <v>44122.80673597222</v>
      </c>
      <c r="B1132" s="8" t="s">
        <v>87</v>
      </c>
      <c r="C1132" s="8">
        <v>21426.0</v>
      </c>
      <c r="D1132" s="8" t="s">
        <v>27</v>
      </c>
      <c r="E1132" s="8" t="s">
        <v>100</v>
      </c>
      <c r="G1132" s="8">
        <v>3754.0</v>
      </c>
      <c r="H1132" s="8" t="s">
        <v>45</v>
      </c>
      <c r="K1132" s="8" t="s">
        <v>124</v>
      </c>
      <c r="L1132" s="8" t="s">
        <v>37</v>
      </c>
      <c r="P1132" s="9">
        <v>44122.0</v>
      </c>
      <c r="Q1132" s="10">
        <v>0.14583333333575865</v>
      </c>
      <c r="R1132" s="11" t="str">
        <f t="shared" si="1"/>
        <v>Проверка плат на АОИ Sec</v>
      </c>
      <c r="S1132" s="16" t="str">
        <f>iferror(VLOOKUP(C1132,'ФИО'!A:B,2,0),"учётный код не найден")</f>
        <v>Скибинский Антон Германович</v>
      </c>
      <c r="T1132" s="13" t="str">
        <f t="shared" si="2"/>
        <v>ПУ 910-00120.D - Печатный узел модуля 2CAN+LIN</v>
      </c>
      <c r="U1132" s="8">
        <v>1053.0</v>
      </c>
      <c r="V1132" s="8">
        <v>99.0</v>
      </c>
      <c r="X1132" s="14" t="str">
        <f t="shared" si="123"/>
        <v>Данные не заполены</v>
      </c>
      <c r="Y1132" s="15">
        <f t="shared" si="124"/>
        <v>0.09401709402</v>
      </c>
    </row>
    <row r="1133" hidden="1">
      <c r="A1133" s="7">
        <v>44126.193572442135</v>
      </c>
      <c r="B1133" s="8" t="s">
        <v>94</v>
      </c>
      <c r="C1133" s="8">
        <v>50000.0</v>
      </c>
      <c r="D1133" s="8" t="s">
        <v>27</v>
      </c>
      <c r="E1133" s="8" t="s">
        <v>67</v>
      </c>
      <c r="G1133" s="8">
        <v>3252.0</v>
      </c>
      <c r="H1133" s="8" t="s">
        <v>29</v>
      </c>
      <c r="I1133" s="8" t="s">
        <v>96</v>
      </c>
      <c r="L1133" s="8" t="s">
        <v>37</v>
      </c>
      <c r="N1133" s="8">
        <v>1.0</v>
      </c>
      <c r="O1133" s="8">
        <v>36.0</v>
      </c>
      <c r="P1133" s="9">
        <v>44125.0</v>
      </c>
      <c r="Q1133" s="10">
        <v>0.027777777781011537</v>
      </c>
      <c r="R1133" s="11" t="str">
        <f t="shared" si="1"/>
        <v>Сборка на линии Prim</v>
      </c>
      <c r="S1133" s="16" t="str">
        <f>iferror(VLOOKUP(C1133,'ФИО'!A:B,2,0),"учётный код не найден")</f>
        <v>SMT</v>
      </c>
      <c r="T1133" s="13" t="str">
        <f t="shared" si="2"/>
        <v>915-00096.A - ПКД-8В-2 АСЛБ.467249.109</v>
      </c>
      <c r="U1133" s="8">
        <v>42.0</v>
      </c>
      <c r="V1133" s="8">
        <v>0.0</v>
      </c>
      <c r="W1133" s="17">
        <f t="shared" ref="W1133:W1134" si="125">IFERROR((((38412/(ifs(O1133&lt;35,35,O1133&gt;34,O1133)/N1133)*0.7))),"Данные не заполены")</f>
        <v>746.9</v>
      </c>
      <c r="X1133" s="14">
        <f t="shared" si="123"/>
        <v>0.9278350514</v>
      </c>
      <c r="Y1133" s="15">
        <f t="shared" si="124"/>
        <v>0</v>
      </c>
    </row>
    <row r="1134" hidden="1">
      <c r="A1134" s="7">
        <v>44126.32884934028</v>
      </c>
      <c r="B1134" s="8" t="s">
        <v>94</v>
      </c>
      <c r="C1134" s="8">
        <v>50000.0</v>
      </c>
      <c r="D1134" s="8" t="s">
        <v>27</v>
      </c>
      <c r="E1134" s="8" t="s">
        <v>67</v>
      </c>
      <c r="G1134" s="8">
        <v>3804.0</v>
      </c>
      <c r="H1134" s="8" t="s">
        <v>45</v>
      </c>
      <c r="K1134" s="8" t="s">
        <v>52</v>
      </c>
      <c r="L1134" s="8" t="s">
        <v>37</v>
      </c>
      <c r="N1134" s="8">
        <v>10.0</v>
      </c>
      <c r="O1134" s="8">
        <v>24.0</v>
      </c>
      <c r="P1134" s="9">
        <v>44125.0</v>
      </c>
      <c r="Q1134" s="10">
        <v>0.013888888890505768</v>
      </c>
      <c r="R1134" s="11" t="str">
        <f t="shared" si="1"/>
        <v>Сборка на линии Prim</v>
      </c>
      <c r="S1134" s="16" t="str">
        <f>iferror(VLOOKUP(C1134,'ФИО'!A:B,2,0),"учётный код не найден")</f>
        <v>SMT</v>
      </c>
      <c r="T1134" s="13" t="str">
        <f t="shared" si="2"/>
        <v>М17V2 (900-00018.D)_910-00023.H и ПУ 910-00012.I</v>
      </c>
      <c r="U1134" s="8">
        <v>110.0</v>
      </c>
      <c r="V1134" s="8">
        <v>0.0</v>
      </c>
      <c r="W1134" s="17">
        <f t="shared" si="125"/>
        <v>7682.4</v>
      </c>
      <c r="X1134" s="14">
        <f t="shared" si="123"/>
        <v>0.472508591</v>
      </c>
      <c r="Y1134" s="15">
        <f t="shared" si="124"/>
        <v>0</v>
      </c>
    </row>
    <row r="1135" hidden="1">
      <c r="A1135" s="7">
        <v>44123.337091180554</v>
      </c>
      <c r="B1135" s="8" t="s">
        <v>76</v>
      </c>
      <c r="C1135" s="8">
        <v>21852.0</v>
      </c>
      <c r="D1135" s="8" t="s">
        <v>27</v>
      </c>
      <c r="E1135" s="8" t="s">
        <v>100</v>
      </c>
      <c r="G1135" s="8">
        <v>3754.0</v>
      </c>
      <c r="H1135" s="8" t="s">
        <v>45</v>
      </c>
      <c r="K1135" s="8" t="s">
        <v>124</v>
      </c>
      <c r="L1135" s="8" t="s">
        <v>37</v>
      </c>
      <c r="P1135" s="9">
        <v>44122.0</v>
      </c>
      <c r="Q1135" s="10">
        <v>0.45833333333575865</v>
      </c>
      <c r="R1135" s="11" t="str">
        <f t="shared" si="1"/>
        <v>Проверка плат на АОИ Sec</v>
      </c>
      <c r="S1135" s="16" t="str">
        <f>iferror(VLOOKUP(C1135,'ФИО'!A:B,2,0),"учётный код не найден")</f>
        <v>Пономарев Юрий Андреевич</v>
      </c>
      <c r="T1135" s="13" t="str">
        <f t="shared" si="2"/>
        <v>ПУ 910-00120.D - Печатный узел модуля 2CAN+LIN</v>
      </c>
      <c r="U1135" s="8">
        <v>0.0</v>
      </c>
      <c r="V1135" s="8">
        <v>0.0</v>
      </c>
      <c r="X1135" s="14" t="str">
        <f t="shared" si="123"/>
        <v>Данные не заполены</v>
      </c>
      <c r="Y1135" s="15">
        <f t="shared" si="124"/>
        <v>0</v>
      </c>
    </row>
    <row r="1136" hidden="1">
      <c r="A1136" s="7">
        <v>44132.3297562963</v>
      </c>
      <c r="B1136" s="8" t="s">
        <v>38</v>
      </c>
      <c r="C1136" s="8">
        <v>21752.0</v>
      </c>
      <c r="D1136" s="8" t="s">
        <v>27</v>
      </c>
      <c r="E1136" s="8" t="s">
        <v>67</v>
      </c>
      <c r="G1136" s="8">
        <v>3621.0</v>
      </c>
      <c r="H1136" s="8" t="s">
        <v>29</v>
      </c>
      <c r="I1136" s="8" t="s">
        <v>30</v>
      </c>
      <c r="L1136" s="8" t="s">
        <v>37</v>
      </c>
      <c r="P1136" s="9">
        <v>44131.0</v>
      </c>
      <c r="Q1136" s="10">
        <v>0.3819444444452529</v>
      </c>
      <c r="R1136" s="11" t="str">
        <f t="shared" si="1"/>
        <v>Сборка на линии Prim</v>
      </c>
      <c r="S1136" s="12" t="str">
        <f>iferror(VLOOKUP(C1136,'ФИО'!A:B,2,0),"учётный код не найден")</f>
        <v>Егоров Александр Александрович</v>
      </c>
      <c r="T1136" s="13" t="str">
        <f t="shared" si="2"/>
        <v>915-00121.A - Процессорный модуль РСЕН.469555.027 (КНС Групп) в ТС</v>
      </c>
      <c r="U1136" s="8">
        <v>0.0</v>
      </c>
      <c r="V1136" s="8">
        <v>0.0</v>
      </c>
      <c r="X1136" s="14" t="str">
        <f t="shared" si="123"/>
        <v>Данные не заполены</v>
      </c>
      <c r="Y1136" s="15">
        <f t="shared" si="124"/>
        <v>0</v>
      </c>
    </row>
    <row r="1137" hidden="1">
      <c r="A1137" s="7">
        <v>44131.325505625</v>
      </c>
      <c r="B1137" s="8" t="s">
        <v>76</v>
      </c>
      <c r="C1137" s="8">
        <v>21504.0</v>
      </c>
      <c r="D1137" s="8" t="s">
        <v>27</v>
      </c>
      <c r="E1137" s="8" t="s">
        <v>100</v>
      </c>
      <c r="G1137" s="8">
        <v>3793.0</v>
      </c>
      <c r="H1137" s="8" t="s">
        <v>29</v>
      </c>
      <c r="I1137" s="8" t="s">
        <v>163</v>
      </c>
      <c r="L1137" s="8" t="s">
        <v>37</v>
      </c>
      <c r="P1137" s="9">
        <v>44130.0</v>
      </c>
      <c r="Q1137" s="10">
        <v>0.22916666666424135</v>
      </c>
      <c r="R1137" s="11" t="str">
        <f t="shared" si="1"/>
        <v>Проверка плат на АОИ Sec</v>
      </c>
      <c r="S1137" s="12" t="str">
        <f>iferror(VLOOKUP(C1137,'ФИО'!A:B,2,0),"учётный код не найден")</f>
        <v>Александрова Елена Сергеевна</v>
      </c>
      <c r="T1137" s="13" t="str">
        <f t="shared" si="2"/>
        <v>915-00068.A - uklsip(s)220_v3.01 (Гефест)</v>
      </c>
      <c r="U1137" s="8">
        <v>3857.0</v>
      </c>
      <c r="V1137" s="8">
        <v>7.0</v>
      </c>
      <c r="W1137" s="17" t="str">
        <f t="shared" ref="W1137:W1153" si="126">IFERROR((((38412/(ifs(O1137&lt;35,35,O1137&gt;34,O1137)/N1137)*0.7))),"Данные не заполены")</f>
        <v>Данные не заполены</v>
      </c>
      <c r="X1137" s="14" t="str">
        <f t="shared" si="123"/>
        <v>Данные не заполены</v>
      </c>
      <c r="Y1137" s="15">
        <f t="shared" si="124"/>
        <v>0.001814882033</v>
      </c>
    </row>
    <row r="1138" hidden="1">
      <c r="A1138" s="7">
        <v>44131.82588045139</v>
      </c>
      <c r="B1138" s="8" t="s">
        <v>87</v>
      </c>
      <c r="C1138" s="8">
        <v>21928.0</v>
      </c>
      <c r="D1138" s="8" t="s">
        <v>27</v>
      </c>
      <c r="E1138" s="8" t="s">
        <v>100</v>
      </c>
      <c r="G1138" s="8">
        <v>3793.0</v>
      </c>
      <c r="H1138" s="8" t="s">
        <v>29</v>
      </c>
      <c r="I1138" s="8" t="s">
        <v>163</v>
      </c>
      <c r="L1138" s="8" t="s">
        <v>37</v>
      </c>
      <c r="P1138" s="9">
        <v>44131.0</v>
      </c>
      <c r="Q1138" s="10">
        <v>0.0625</v>
      </c>
      <c r="R1138" s="11" t="str">
        <f t="shared" si="1"/>
        <v>Проверка плат на АОИ Sec</v>
      </c>
      <c r="S1138" s="12" t="str">
        <f>iferror(VLOOKUP(C1138,'ФИО'!A:B,2,0),"учётный код не найден")</f>
        <v>Савченко Виктория Андреевна</v>
      </c>
      <c r="T1138" s="13" t="str">
        <f t="shared" si="2"/>
        <v>915-00068.A - uklsip(s)220_v3.01 (Гефест)</v>
      </c>
      <c r="U1138" s="8">
        <v>1036.0</v>
      </c>
      <c r="V1138" s="8">
        <v>14.0</v>
      </c>
      <c r="W1138" s="17" t="str">
        <f t="shared" si="126"/>
        <v>Данные не заполены</v>
      </c>
      <c r="X1138" s="14" t="str">
        <f t="shared" si="123"/>
        <v>Данные не заполены</v>
      </c>
      <c r="Y1138" s="15">
        <f t="shared" si="124"/>
        <v>0.01351351351</v>
      </c>
    </row>
    <row r="1139" hidden="1">
      <c r="A1139" s="7">
        <v>44111.29401107639</v>
      </c>
      <c r="B1139" s="8" t="s">
        <v>94</v>
      </c>
      <c r="C1139" s="8">
        <v>20985.0</v>
      </c>
      <c r="D1139" s="8" t="s">
        <v>27</v>
      </c>
      <c r="E1139" s="8" t="s">
        <v>195</v>
      </c>
      <c r="G1139" s="8">
        <v>3234.0</v>
      </c>
      <c r="H1139" s="8" t="s">
        <v>29</v>
      </c>
      <c r="I1139" s="8" t="s">
        <v>135</v>
      </c>
      <c r="L1139" s="8" t="s">
        <v>31</v>
      </c>
      <c r="M1139" s="8" t="s">
        <v>275</v>
      </c>
      <c r="N1139" s="8"/>
      <c r="O1139" s="8"/>
      <c r="P1139" s="9">
        <v>44110.0</v>
      </c>
      <c r="Q1139" s="10">
        <v>0.08333333333575865</v>
      </c>
      <c r="R1139" s="11" t="str">
        <f t="shared" si="1"/>
        <v>Проверка программы на АОИ PRI</v>
      </c>
      <c r="S1139" s="16" t="str">
        <f>iferror(VLOOKUP(C1139,'ФИО'!A:B,2,0),"учётный код не найден")</f>
        <v>Никонорова Наталия Владимировна</v>
      </c>
      <c r="T1139" s="13" t="str">
        <f t="shared" si="2"/>
        <v>915-00101.A - ПКД-9В АСЛБ.467249.107 (Квант)</v>
      </c>
      <c r="U1139" s="8">
        <v>0.0</v>
      </c>
      <c r="V1139" s="8">
        <v>0.0</v>
      </c>
      <c r="W1139" s="21" t="str">
        <f t="shared" si="126"/>
        <v>Данные не заполены</v>
      </c>
      <c r="X1139" s="15" t="str">
        <f t="shared" si="123"/>
        <v>Данные не заполены</v>
      </c>
      <c r="Y1139" s="15">
        <f t="shared" si="124"/>
        <v>0</v>
      </c>
    </row>
    <row r="1140" hidden="1">
      <c r="A1140" s="7">
        <v>44111.33263809027</v>
      </c>
      <c r="B1140" s="8" t="s">
        <v>94</v>
      </c>
      <c r="C1140" s="8">
        <v>21426.0</v>
      </c>
      <c r="D1140" s="8" t="s">
        <v>27</v>
      </c>
      <c r="E1140" s="8" t="s">
        <v>195</v>
      </c>
      <c r="G1140" s="8">
        <v>3234.0</v>
      </c>
      <c r="H1140" s="8" t="s">
        <v>29</v>
      </c>
      <c r="I1140" s="8" t="s">
        <v>135</v>
      </c>
      <c r="L1140" s="8" t="s">
        <v>31</v>
      </c>
      <c r="M1140" s="8" t="s">
        <v>276</v>
      </c>
      <c r="N1140" s="8"/>
      <c r="O1140" s="8"/>
      <c r="P1140" s="9">
        <v>44110.0</v>
      </c>
      <c r="Q1140" s="10">
        <v>0.125</v>
      </c>
      <c r="R1140" s="11" t="str">
        <f t="shared" si="1"/>
        <v>Проверка программы на АОИ PRI</v>
      </c>
      <c r="S1140" s="16" t="str">
        <f>iferror(VLOOKUP(C1140,'ФИО'!A:B,2,0),"учётный код не найден")</f>
        <v>Скибинский Антон Германович</v>
      </c>
      <c r="T1140" s="13" t="str">
        <f t="shared" si="2"/>
        <v>915-00101.A - ПКД-9В АСЛБ.467249.107 (Квант)</v>
      </c>
      <c r="U1140" s="8">
        <v>0.0</v>
      </c>
      <c r="V1140" s="8">
        <v>0.0</v>
      </c>
      <c r="W1140" s="21" t="str">
        <f t="shared" si="126"/>
        <v>Данные не заполены</v>
      </c>
      <c r="X1140" s="15" t="str">
        <f t="shared" si="123"/>
        <v>Данные не заполены</v>
      </c>
      <c r="Y1140" s="15">
        <f t="shared" si="124"/>
        <v>0</v>
      </c>
    </row>
    <row r="1141" hidden="1">
      <c r="A1141" s="7">
        <v>44111.3367324537</v>
      </c>
      <c r="B1141" s="8" t="s">
        <v>94</v>
      </c>
      <c r="C1141" s="8">
        <v>21426.0</v>
      </c>
      <c r="D1141" s="8" t="s">
        <v>27</v>
      </c>
      <c r="E1141" s="8" t="s">
        <v>195</v>
      </c>
      <c r="G1141" s="8">
        <v>3580.0</v>
      </c>
      <c r="H1141" s="8" t="s">
        <v>29</v>
      </c>
      <c r="I1141" s="8" t="s">
        <v>145</v>
      </c>
      <c r="L1141" s="8" t="s">
        <v>31</v>
      </c>
      <c r="M1141" s="8" t="s">
        <v>34</v>
      </c>
      <c r="N1141" s="8"/>
      <c r="O1141" s="8"/>
      <c r="P1141" s="9">
        <v>44110.0</v>
      </c>
      <c r="Q1141" s="10">
        <v>0.05902777778101154</v>
      </c>
      <c r="R1141" s="11" t="str">
        <f t="shared" si="1"/>
        <v>Проверка программы на АОИ PRI</v>
      </c>
      <c r="S1141" s="16" t="str">
        <f>iferror(VLOOKUP(C1141,'ФИО'!A:B,2,0),"учётный код не найден")</f>
        <v>Скибинский Антон Германович</v>
      </c>
      <c r="T1141" s="13" t="str">
        <f t="shared" si="2"/>
        <v>XR (OÜ KLARBERG)</v>
      </c>
      <c r="U1141" s="8">
        <v>0.0</v>
      </c>
      <c r="V1141" s="8">
        <v>0.0</v>
      </c>
      <c r="W1141" s="21" t="str">
        <f t="shared" si="126"/>
        <v>Данные не заполены</v>
      </c>
      <c r="X1141" s="15" t="str">
        <f t="shared" si="123"/>
        <v>Данные не заполены</v>
      </c>
      <c r="Y1141" s="15">
        <f t="shared" si="124"/>
        <v>0</v>
      </c>
    </row>
    <row r="1142" hidden="1">
      <c r="A1142" s="7">
        <v>44114.82568119213</v>
      </c>
      <c r="B1142" s="8" t="s">
        <v>87</v>
      </c>
      <c r="C1142" s="8">
        <v>21928.0</v>
      </c>
      <c r="D1142" s="8" t="s">
        <v>27</v>
      </c>
      <c r="E1142" s="8" t="s">
        <v>195</v>
      </c>
      <c r="G1142" s="8">
        <v>3750.0</v>
      </c>
      <c r="H1142" s="8" t="s">
        <v>45</v>
      </c>
      <c r="K1142" s="8" t="s">
        <v>46</v>
      </c>
      <c r="L1142" s="8" t="s">
        <v>31</v>
      </c>
      <c r="M1142" s="8" t="s">
        <v>34</v>
      </c>
      <c r="N1142" s="8"/>
      <c r="O1142" s="8"/>
      <c r="P1142" s="9">
        <v>44114.0</v>
      </c>
      <c r="Q1142" s="10">
        <v>0.0625</v>
      </c>
      <c r="R1142" s="11" t="str">
        <f t="shared" si="1"/>
        <v>Проверка программы на АОИ PRI</v>
      </c>
      <c r="S1142" s="16" t="str">
        <f>iferror(VLOOKUP(C1142,'ФИО'!A:B,2,0),"учётный код не найден")</f>
        <v>Савченко Виктория Андреевна</v>
      </c>
      <c r="T1142" s="13" t="str">
        <f t="shared" si="2"/>
        <v>ПУ 910-00349.A "Печатный узел основного блока E96 4LIN"</v>
      </c>
      <c r="U1142" s="8">
        <v>0.0</v>
      </c>
      <c r="V1142" s="8">
        <v>0.0</v>
      </c>
      <c r="W1142" s="21" t="str">
        <f t="shared" si="126"/>
        <v>Данные не заполены</v>
      </c>
      <c r="X1142" s="15" t="str">
        <f t="shared" si="123"/>
        <v>Данные не заполены</v>
      </c>
      <c r="Y1142" s="15">
        <f t="shared" si="124"/>
        <v>0</v>
      </c>
    </row>
    <row r="1143" hidden="1">
      <c r="A1143" s="7">
        <v>44126.32555851852</v>
      </c>
      <c r="B1143" s="8" t="s">
        <v>94</v>
      </c>
      <c r="C1143" s="8">
        <v>21928.0</v>
      </c>
      <c r="D1143" s="8" t="s">
        <v>27</v>
      </c>
      <c r="E1143" s="8" t="s">
        <v>195</v>
      </c>
      <c r="G1143" s="8">
        <v>3804.0</v>
      </c>
      <c r="H1143" s="8" t="s">
        <v>45</v>
      </c>
      <c r="K1143" s="8" t="s">
        <v>52</v>
      </c>
      <c r="L1143" s="8" t="s">
        <v>37</v>
      </c>
      <c r="P1143" s="9">
        <v>44125.0</v>
      </c>
      <c r="Q1143" s="10">
        <v>0.04166666666424135</v>
      </c>
      <c r="R1143" s="11" t="str">
        <f t="shared" si="1"/>
        <v>Проверка программы на АОИ PRI</v>
      </c>
      <c r="S1143" s="16" t="str">
        <f>iferror(VLOOKUP(C1143,'ФИО'!A:B,2,0),"учётный код не найден")</f>
        <v>Савченко Виктория Андреевна</v>
      </c>
      <c r="T1143" s="13" t="str">
        <f t="shared" si="2"/>
        <v>М17V2 (900-00018.D)_910-00023.H и ПУ 910-00012.I</v>
      </c>
      <c r="U1143" s="8">
        <v>0.0</v>
      </c>
      <c r="V1143" s="8">
        <v>0.0</v>
      </c>
      <c r="W1143" s="17" t="str">
        <f t="shared" si="126"/>
        <v>Данные не заполены</v>
      </c>
      <c r="X1143" s="14" t="str">
        <f t="shared" si="123"/>
        <v>Данные не заполены</v>
      </c>
      <c r="Y1143" s="15">
        <f t="shared" si="124"/>
        <v>0</v>
      </c>
    </row>
    <row r="1144" hidden="1">
      <c r="A1144" s="7">
        <v>44130.31380296296</v>
      </c>
      <c r="B1144" s="8" t="s">
        <v>76</v>
      </c>
      <c r="C1144" s="8">
        <v>21504.0</v>
      </c>
      <c r="D1144" s="8" t="s">
        <v>27</v>
      </c>
      <c r="E1144" s="8" t="s">
        <v>195</v>
      </c>
      <c r="G1144" s="8">
        <v>3793.0</v>
      </c>
      <c r="H1144" s="8" t="s">
        <v>29</v>
      </c>
      <c r="I1144" s="8" t="s">
        <v>150</v>
      </c>
      <c r="L1144" s="8" t="s">
        <v>31</v>
      </c>
      <c r="M1144" s="8" t="s">
        <v>34</v>
      </c>
      <c r="P1144" s="9">
        <v>44129.0</v>
      </c>
      <c r="Q1144" s="10">
        <v>0.06944444444525288</v>
      </c>
      <c r="R1144" s="11" t="str">
        <f t="shared" si="1"/>
        <v>Проверка программы на АОИ PRI</v>
      </c>
      <c r="S1144" s="12" t="str">
        <f>iferror(VLOOKUP(C1144,'ФИО'!A:B,2,0),"учётный код не найден")</f>
        <v>Александрова Елена Сергеевна</v>
      </c>
      <c r="T1144" s="13" t="str">
        <f t="shared" si="2"/>
        <v>UKLSiP(S)220_v3.00</v>
      </c>
      <c r="U1144" s="8">
        <v>0.0</v>
      </c>
      <c r="V1144" s="8">
        <v>0.0</v>
      </c>
      <c r="W1144" s="17" t="str">
        <f t="shared" si="126"/>
        <v>Данные не заполены</v>
      </c>
      <c r="X1144" s="14" t="str">
        <f t="shared" si="123"/>
        <v>Данные не заполены</v>
      </c>
      <c r="Y1144" s="15">
        <f t="shared" si="124"/>
        <v>0</v>
      </c>
    </row>
    <row r="1145" hidden="1">
      <c r="A1145" s="7">
        <v>44110.33020596065</v>
      </c>
      <c r="B1145" s="8" t="s">
        <v>94</v>
      </c>
      <c r="C1145" s="8">
        <v>21426.0</v>
      </c>
      <c r="D1145" s="8" t="s">
        <v>27</v>
      </c>
      <c r="E1145" s="8" t="s">
        <v>259</v>
      </c>
      <c r="G1145" s="8">
        <v>3726.0</v>
      </c>
      <c r="H1145" s="8" t="s">
        <v>45</v>
      </c>
      <c r="K1145" s="8" t="s">
        <v>58</v>
      </c>
      <c r="L1145" s="8" t="s">
        <v>31</v>
      </c>
      <c r="M1145" s="8" t="s">
        <v>34</v>
      </c>
      <c r="N1145" s="8"/>
      <c r="O1145" s="8"/>
      <c r="P1145" s="9">
        <v>44109.0</v>
      </c>
      <c r="Q1145" s="10">
        <v>0.020833333335758653</v>
      </c>
      <c r="R1145" s="11" t="str">
        <f t="shared" si="1"/>
        <v>Проверка программы на АОИ SEC</v>
      </c>
      <c r="S1145" s="16" t="str">
        <f>iferror(VLOOKUP(C1145,'ФИО'!A:B,2,0),"учётный код не найден")</f>
        <v>Скибинский Антон Германович</v>
      </c>
      <c r="T1145" s="13" t="str">
        <f t="shared" si="2"/>
        <v>ПУ метки i95</v>
      </c>
      <c r="U1145" s="8">
        <v>0.0</v>
      </c>
      <c r="V1145" s="8">
        <v>0.0</v>
      </c>
      <c r="W1145" s="21" t="str">
        <f t="shared" si="126"/>
        <v>Данные не заполены</v>
      </c>
      <c r="X1145" s="15" t="str">
        <f t="shared" si="123"/>
        <v>Данные не заполены</v>
      </c>
      <c r="Y1145" s="15">
        <f t="shared" si="124"/>
        <v>0</v>
      </c>
    </row>
    <row r="1146" hidden="1">
      <c r="A1146" s="7">
        <v>44131.323890381944</v>
      </c>
      <c r="B1146" s="8" t="s">
        <v>76</v>
      </c>
      <c r="C1146" s="8">
        <v>21504.0</v>
      </c>
      <c r="D1146" s="8" t="s">
        <v>27</v>
      </c>
      <c r="E1146" s="8" t="s">
        <v>259</v>
      </c>
      <c r="G1146" s="8">
        <v>3793.0</v>
      </c>
      <c r="H1146" s="8" t="s">
        <v>29</v>
      </c>
      <c r="I1146" s="8" t="s">
        <v>163</v>
      </c>
      <c r="L1146" s="8" t="s">
        <v>31</v>
      </c>
      <c r="M1146" s="8" t="s">
        <v>34</v>
      </c>
      <c r="P1146" s="9">
        <v>44130.0</v>
      </c>
      <c r="Q1146" s="10">
        <v>0.0625</v>
      </c>
      <c r="R1146" s="11" t="str">
        <f t="shared" si="1"/>
        <v>Проверка программы на АОИ SEC</v>
      </c>
      <c r="S1146" s="12" t="str">
        <f>iferror(VLOOKUP(C1146,'ФИО'!A:B,2,0),"учётный код не найден")</f>
        <v>Александрова Елена Сергеевна</v>
      </c>
      <c r="T1146" s="13" t="str">
        <f t="shared" si="2"/>
        <v>915-00068.A - uklsip(s)220_v3.01 (Гефест)</v>
      </c>
      <c r="U1146" s="8">
        <v>0.0</v>
      </c>
      <c r="V1146" s="8">
        <v>0.0</v>
      </c>
      <c r="W1146" s="17" t="str">
        <f t="shared" si="126"/>
        <v>Данные не заполены</v>
      </c>
      <c r="X1146" s="14" t="str">
        <f t="shared" si="123"/>
        <v>Данные не заполены</v>
      </c>
      <c r="Y1146" s="15">
        <f t="shared" si="124"/>
        <v>0</v>
      </c>
    </row>
    <row r="1147" hidden="1">
      <c r="A1147" s="7">
        <v>44107.304906944446</v>
      </c>
      <c r="B1147" s="8" t="s">
        <v>76</v>
      </c>
      <c r="C1147" s="8">
        <v>21954.0</v>
      </c>
      <c r="D1147" s="8" t="s">
        <v>27</v>
      </c>
      <c r="E1147" s="8" t="s">
        <v>160</v>
      </c>
      <c r="G1147" s="8">
        <v>3706.0</v>
      </c>
      <c r="H1147" s="8" t="s">
        <v>45</v>
      </c>
      <c r="K1147" s="8" t="s">
        <v>91</v>
      </c>
      <c r="L1147" s="8" t="s">
        <v>31</v>
      </c>
      <c r="M1147" s="8" t="s">
        <v>34</v>
      </c>
      <c r="N1147" s="8"/>
      <c r="O1147" s="8"/>
      <c r="P1147" s="9">
        <v>44106.0</v>
      </c>
      <c r="Q1147" s="10">
        <v>0.0625</v>
      </c>
      <c r="R1147" s="13" t="str">
        <f t="shared" si="1"/>
        <v>Проверка программы установщиков</v>
      </c>
      <c r="S1147" s="16" t="str">
        <f>iferror(VLOOKUP(C1147,'ФИО'!A:B,2,0),"учётный код не найден")</f>
        <v>Александров Александр Викторович</v>
      </c>
      <c r="T1147" s="13" t="str">
        <f t="shared" si="2"/>
        <v>ПУ Сигма 10/15 910-00080.D</v>
      </c>
      <c r="U1147" s="8">
        <v>0.0</v>
      </c>
      <c r="V1147" s="8">
        <v>0.0</v>
      </c>
      <c r="W1147" s="21" t="str">
        <f t="shared" si="126"/>
        <v>Данные не заполены</v>
      </c>
      <c r="X1147" s="15" t="str">
        <f t="shared" si="123"/>
        <v>Данные не заполены</v>
      </c>
      <c r="Y1147" s="15">
        <f t="shared" si="124"/>
        <v>0</v>
      </c>
    </row>
    <row r="1148" hidden="1">
      <c r="A1148" s="7">
        <v>44107.305467638886</v>
      </c>
      <c r="B1148" s="8" t="s">
        <v>76</v>
      </c>
      <c r="C1148" s="8">
        <v>21954.0</v>
      </c>
      <c r="D1148" s="8" t="s">
        <v>27</v>
      </c>
      <c r="E1148" s="8" t="s">
        <v>160</v>
      </c>
      <c r="G1148" s="8">
        <v>3726.0</v>
      </c>
      <c r="H1148" s="8" t="s">
        <v>45</v>
      </c>
      <c r="K1148" s="8" t="s">
        <v>58</v>
      </c>
      <c r="L1148" s="8" t="s">
        <v>31</v>
      </c>
      <c r="M1148" s="8" t="s">
        <v>34</v>
      </c>
      <c r="N1148" s="8"/>
      <c r="O1148" s="8"/>
      <c r="P1148" s="9">
        <v>44106.0</v>
      </c>
      <c r="Q1148" s="10">
        <v>0.0625</v>
      </c>
      <c r="R1148" s="13" t="str">
        <f t="shared" si="1"/>
        <v>Проверка программы установщиков</v>
      </c>
      <c r="S1148" s="16" t="str">
        <f>iferror(VLOOKUP(C1148,'ФИО'!A:B,2,0),"учётный код не найден")</f>
        <v>Александров Александр Викторович</v>
      </c>
      <c r="T1148" s="13" t="str">
        <f t="shared" si="2"/>
        <v>ПУ метки i95</v>
      </c>
      <c r="U1148" s="8">
        <v>0.0</v>
      </c>
      <c r="V1148" s="8">
        <v>0.0</v>
      </c>
      <c r="W1148" s="21" t="str">
        <f t="shared" si="126"/>
        <v>Данные не заполены</v>
      </c>
      <c r="X1148" s="15" t="str">
        <f t="shared" si="123"/>
        <v>Данные не заполены</v>
      </c>
      <c r="Y1148" s="15">
        <f t="shared" si="124"/>
        <v>0</v>
      </c>
    </row>
    <row r="1149" hidden="1">
      <c r="A1149" s="7">
        <v>44107.24964576389</v>
      </c>
      <c r="B1149" s="8" t="s">
        <v>76</v>
      </c>
      <c r="C1149" s="8">
        <v>20693.0</v>
      </c>
      <c r="D1149" s="8" t="s">
        <v>27</v>
      </c>
      <c r="E1149" s="8" t="s">
        <v>160</v>
      </c>
      <c r="G1149" s="8">
        <v>3649.0</v>
      </c>
      <c r="H1149" s="8" t="s">
        <v>29</v>
      </c>
      <c r="I1149" s="8" t="s">
        <v>33</v>
      </c>
      <c r="L1149" s="8" t="s">
        <v>31</v>
      </c>
      <c r="M1149" s="8" t="s">
        <v>34</v>
      </c>
      <c r="N1149" s="8"/>
      <c r="O1149" s="8"/>
      <c r="P1149" s="9">
        <v>44106.0</v>
      </c>
      <c r="Q1149" s="10">
        <v>0.0625</v>
      </c>
      <c r="R1149" s="13" t="str">
        <f t="shared" si="1"/>
        <v>Проверка программы установщиков</v>
      </c>
      <c r="S1149" s="16" t="str">
        <f>iferror(VLOOKUP(C1149,'ФИО'!A:B,2,0),"учётный код не найден")</f>
        <v>Аникина Раиса Владимировна</v>
      </c>
      <c r="T1149" s="13" t="str">
        <f t="shared" si="2"/>
        <v>ssfp2.2 (Метротек)</v>
      </c>
      <c r="W1149" s="21" t="str">
        <f t="shared" si="126"/>
        <v>Данные не заполены</v>
      </c>
      <c r="X1149" s="15" t="str">
        <f t="shared" si="123"/>
        <v>Данные не заполены</v>
      </c>
      <c r="Y1149" s="15">
        <f t="shared" si="124"/>
        <v>0</v>
      </c>
    </row>
    <row r="1150" hidden="1">
      <c r="A1150" s="7">
        <v>44110.31127608796</v>
      </c>
      <c r="B1150" s="8" t="s">
        <v>94</v>
      </c>
      <c r="C1150" s="8">
        <v>22131.0</v>
      </c>
      <c r="D1150" s="8" t="s">
        <v>27</v>
      </c>
      <c r="E1150" s="8" t="s">
        <v>160</v>
      </c>
      <c r="G1150" s="8">
        <v>3234.0</v>
      </c>
      <c r="H1150" s="8" t="s">
        <v>29</v>
      </c>
      <c r="I1150" s="8" t="s">
        <v>135</v>
      </c>
      <c r="L1150" s="8" t="s">
        <v>31</v>
      </c>
      <c r="M1150" s="8" t="s">
        <v>34</v>
      </c>
      <c r="N1150" s="8"/>
      <c r="O1150" s="8"/>
      <c r="P1150" s="9">
        <v>44109.0</v>
      </c>
      <c r="Q1150" s="10">
        <v>0.020833333333333332</v>
      </c>
      <c r="R1150" s="11" t="str">
        <f t="shared" si="1"/>
        <v>Проверка программы установщиков</v>
      </c>
      <c r="S1150" s="16" t="str">
        <f>iferror(VLOOKUP(C1150,'ФИО'!A:B,2,0),"учётный код не найден")</f>
        <v>Стосик Степан Владимирович</v>
      </c>
      <c r="T1150" s="13" t="str">
        <f t="shared" si="2"/>
        <v>915-00101.A - ПКД-9В АСЛБ.467249.107 (Квант)</v>
      </c>
      <c r="U1150" s="8">
        <v>0.0</v>
      </c>
      <c r="V1150" s="8">
        <v>0.0</v>
      </c>
      <c r="W1150" s="21" t="str">
        <f t="shared" si="126"/>
        <v>Данные не заполены</v>
      </c>
      <c r="X1150" s="15" t="str">
        <f t="shared" si="123"/>
        <v>Данные не заполены</v>
      </c>
      <c r="Y1150" s="15">
        <f t="shared" si="124"/>
        <v>0</v>
      </c>
    </row>
    <row r="1151" hidden="1">
      <c r="A1151" s="7">
        <v>44110.312619131946</v>
      </c>
      <c r="B1151" s="8" t="s">
        <v>94</v>
      </c>
      <c r="C1151" s="8">
        <v>22131.0</v>
      </c>
      <c r="D1151" s="8" t="s">
        <v>27</v>
      </c>
      <c r="E1151" s="8" t="s">
        <v>160</v>
      </c>
      <c r="G1151" s="8">
        <v>3252.0</v>
      </c>
      <c r="H1151" s="8" t="s">
        <v>29</v>
      </c>
      <c r="I1151" s="8" t="s">
        <v>277</v>
      </c>
      <c r="L1151" s="8" t="s">
        <v>31</v>
      </c>
      <c r="M1151" s="8" t="s">
        <v>34</v>
      </c>
      <c r="N1151" s="8"/>
      <c r="O1151" s="8"/>
      <c r="P1151" s="9">
        <v>44109.0</v>
      </c>
      <c r="Q1151" s="10">
        <v>0.08333333333575865</v>
      </c>
      <c r="R1151" s="11" t="str">
        <f t="shared" si="1"/>
        <v>Проверка программы установщиков</v>
      </c>
      <c r="S1151" s="16" t="str">
        <f>iferror(VLOOKUP(C1151,'ФИО'!A:B,2,0),"учётный код не найден")</f>
        <v>Стосик Степан Владимирович</v>
      </c>
      <c r="T1151" s="13" t="str">
        <f t="shared" si="2"/>
        <v>915-00096.A - ПКД-8В-2 АСЛБ.467249.109 (Квант)</v>
      </c>
      <c r="U1151" s="8">
        <v>0.0</v>
      </c>
      <c r="V1151" s="8">
        <v>0.0</v>
      </c>
      <c r="W1151" s="21" t="str">
        <f t="shared" si="126"/>
        <v>Данные не заполены</v>
      </c>
      <c r="X1151" s="15" t="str">
        <f t="shared" si="123"/>
        <v>Данные не заполены</v>
      </c>
      <c r="Y1151" s="15">
        <f t="shared" si="124"/>
        <v>0</v>
      </c>
    </row>
    <row r="1152" hidden="1">
      <c r="A1152" s="7">
        <v>44110.820347141205</v>
      </c>
      <c r="B1152" s="8" t="s">
        <v>89</v>
      </c>
      <c r="C1152" s="8">
        <v>21954.0</v>
      </c>
      <c r="D1152" s="8" t="s">
        <v>27</v>
      </c>
      <c r="E1152" s="8" t="s">
        <v>160</v>
      </c>
      <c r="G1152" s="8">
        <v>3238.0</v>
      </c>
      <c r="H1152" s="8" t="s">
        <v>29</v>
      </c>
      <c r="I1152" s="8" t="s">
        <v>60</v>
      </c>
      <c r="L1152" s="8" t="s">
        <v>31</v>
      </c>
      <c r="M1152" s="8" t="s">
        <v>34</v>
      </c>
      <c r="N1152" s="8"/>
      <c r="O1152" s="8"/>
      <c r="P1152" s="9">
        <v>44110.0</v>
      </c>
      <c r="Q1152" s="10">
        <v>0.04166666666424135</v>
      </c>
      <c r="R1152" s="11" t="str">
        <f t="shared" si="1"/>
        <v>Проверка программы установщиков</v>
      </c>
      <c r="S1152" s="16" t="str">
        <f>iferror(VLOOKUP(C1152,'ФИО'!A:B,2,0),"учётный код не найден")</f>
        <v>Александров Александр Викторович</v>
      </c>
      <c r="T1152" s="13" t="str">
        <f t="shared" si="2"/>
        <v>915-00102.A - ПБОК-2В АСЛБ.465285.013 (Квант)</v>
      </c>
      <c r="U1152" s="8">
        <v>0.0</v>
      </c>
      <c r="V1152" s="8">
        <v>0.0</v>
      </c>
      <c r="W1152" s="21" t="str">
        <f t="shared" si="126"/>
        <v>Данные не заполены</v>
      </c>
      <c r="X1152" s="15" t="str">
        <f t="shared" si="123"/>
        <v>Данные не заполены</v>
      </c>
      <c r="Y1152" s="15">
        <f t="shared" si="124"/>
        <v>0</v>
      </c>
    </row>
    <row r="1153" hidden="1">
      <c r="A1153" s="7">
        <v>44118.31252641203</v>
      </c>
      <c r="B1153" s="8" t="s">
        <v>94</v>
      </c>
      <c r="C1153" s="8">
        <v>22131.0</v>
      </c>
      <c r="D1153" s="8" t="s">
        <v>27</v>
      </c>
      <c r="E1153" s="8" t="s">
        <v>160</v>
      </c>
      <c r="G1153" s="8">
        <v>3622.0</v>
      </c>
      <c r="H1153" s="8" t="s">
        <v>29</v>
      </c>
      <c r="I1153" s="8" t="s">
        <v>90</v>
      </c>
      <c r="L1153" s="8" t="s">
        <v>31</v>
      </c>
      <c r="M1153" s="8" t="s">
        <v>34</v>
      </c>
      <c r="P1153" s="9">
        <v>44117.0</v>
      </c>
      <c r="Q1153" s="10">
        <v>0.0625</v>
      </c>
      <c r="R1153" s="11" t="str">
        <f t="shared" si="1"/>
        <v>Проверка программы установщиков</v>
      </c>
      <c r="S1153" s="16" t="str">
        <f>iferror(VLOOKUP(C1153,'ФИО'!A:B,2,0),"учётный код не найден")</f>
        <v>Стосик Степан Владимирович</v>
      </c>
      <c r="T1153" s="13" t="str">
        <f t="shared" si="2"/>
        <v>915-00124.A - Tioga Pass_v1.1 (Гагар.ин)</v>
      </c>
      <c r="U1153" s="8">
        <v>0.0</v>
      </c>
      <c r="V1153" s="8">
        <v>0.0</v>
      </c>
      <c r="W1153" s="17" t="str">
        <f t="shared" si="126"/>
        <v>Данные не заполены</v>
      </c>
      <c r="X1153" s="14" t="str">
        <f t="shared" si="123"/>
        <v>Данные не заполены</v>
      </c>
      <c r="Y1153" s="15">
        <f t="shared" si="124"/>
        <v>0</v>
      </c>
    </row>
    <row r="1154" hidden="1">
      <c r="A1154" s="7">
        <v>44122.80593337963</v>
      </c>
      <c r="B1154" s="8" t="s">
        <v>87</v>
      </c>
      <c r="C1154" s="8">
        <v>21426.0</v>
      </c>
      <c r="D1154" s="8" t="s">
        <v>27</v>
      </c>
      <c r="E1154" s="8" t="s">
        <v>160</v>
      </c>
      <c r="G1154" s="8">
        <v>3804.0</v>
      </c>
      <c r="H1154" s="8" t="s">
        <v>45</v>
      </c>
      <c r="K1154" s="8" t="s">
        <v>52</v>
      </c>
      <c r="L1154" s="8" t="s">
        <v>31</v>
      </c>
      <c r="M1154" s="8" t="s">
        <v>34</v>
      </c>
      <c r="P1154" s="9">
        <v>44122.0</v>
      </c>
      <c r="Q1154" s="10">
        <v>0.0625</v>
      </c>
      <c r="R1154" s="11" t="str">
        <f t="shared" si="1"/>
        <v>Проверка программы установщиков</v>
      </c>
      <c r="S1154" s="16" t="str">
        <f>iferror(VLOOKUP(C1154,'ФИО'!A:B,2,0),"учётный код не найден")</f>
        <v>Скибинский Антон Германович</v>
      </c>
      <c r="T1154" s="13" t="str">
        <f t="shared" si="2"/>
        <v>М17V2 (900-00018.D)_910-00023.H и ПУ 910-00012.I</v>
      </c>
      <c r="U1154" s="8">
        <v>0.0</v>
      </c>
      <c r="V1154" s="8">
        <v>0.0</v>
      </c>
      <c r="X1154" s="14" t="str">
        <f t="shared" si="123"/>
        <v>Данные не заполены</v>
      </c>
      <c r="Y1154" s="15">
        <f t="shared" si="124"/>
        <v>0</v>
      </c>
    </row>
    <row r="1155" hidden="1">
      <c r="A1155" s="7">
        <v>44126.32132366898</v>
      </c>
      <c r="B1155" s="8" t="s">
        <v>94</v>
      </c>
      <c r="C1155" s="8">
        <v>20985.0</v>
      </c>
      <c r="D1155" s="8" t="s">
        <v>27</v>
      </c>
      <c r="E1155" s="8" t="s">
        <v>160</v>
      </c>
      <c r="G1155" s="8">
        <v>3747.0</v>
      </c>
      <c r="H1155" s="8" t="s">
        <v>45</v>
      </c>
      <c r="K1155" s="8" t="s">
        <v>155</v>
      </c>
      <c r="L1155" s="8" t="s">
        <v>31</v>
      </c>
      <c r="M1155" s="8" t="s">
        <v>34</v>
      </c>
      <c r="P1155" s="9">
        <v>44125.0</v>
      </c>
      <c r="Q1155" s="10">
        <v>0.027777777781011537</v>
      </c>
      <c r="R1155" s="11" t="str">
        <f t="shared" si="1"/>
        <v>Проверка программы установщиков</v>
      </c>
      <c r="S1155" s="16" t="str">
        <f>iferror(VLOOKUP(C1155,'ФИО'!A:B,2,0),"учётный код не найден")</f>
        <v>Никонорова Наталия Владимировна</v>
      </c>
      <c r="T1155" s="13" t="str">
        <f t="shared" si="2"/>
        <v>ПУ N11 910-00188.B</v>
      </c>
      <c r="U1155" s="8">
        <v>0.0</v>
      </c>
      <c r="V1155" s="8">
        <v>0.0</v>
      </c>
      <c r="W1155" s="17" t="str">
        <f t="shared" ref="W1155:W1178" si="127">IFERROR((((38412/(ifs(O1155&lt;35,35,O1155&gt;34,O1155)/N1155)*0.7))),"Данные не заполены")</f>
        <v>Данные не заполены</v>
      </c>
      <c r="X1155" s="14" t="str">
        <f t="shared" si="123"/>
        <v>Данные не заполены</v>
      </c>
      <c r="Y1155" s="15">
        <f t="shared" si="124"/>
        <v>0</v>
      </c>
    </row>
    <row r="1156" hidden="1">
      <c r="A1156" s="7">
        <v>44126.829302349535</v>
      </c>
      <c r="B1156" s="8" t="s">
        <v>89</v>
      </c>
      <c r="C1156" s="8">
        <v>50000.0</v>
      </c>
      <c r="D1156" s="8" t="s">
        <v>27</v>
      </c>
      <c r="E1156" s="8" t="s">
        <v>67</v>
      </c>
      <c r="G1156" s="8">
        <v>3804.0</v>
      </c>
      <c r="H1156" s="8" t="s">
        <v>45</v>
      </c>
      <c r="K1156" s="8" t="s">
        <v>52</v>
      </c>
      <c r="L1156" s="8" t="s">
        <v>37</v>
      </c>
      <c r="N1156" s="8">
        <v>20.0</v>
      </c>
      <c r="O1156" s="8">
        <v>24.0</v>
      </c>
      <c r="P1156" s="9">
        <v>44126.0</v>
      </c>
      <c r="Q1156" s="10">
        <v>0.2743055555547471</v>
      </c>
      <c r="R1156" s="11" t="str">
        <f t="shared" si="1"/>
        <v>Сборка на линии Prim</v>
      </c>
      <c r="S1156" s="16" t="str">
        <f>iferror(VLOOKUP(C1156,'ФИО'!A:B,2,0),"учётный код не найден")</f>
        <v>SMT</v>
      </c>
      <c r="T1156" s="13" t="str">
        <f t="shared" si="2"/>
        <v>М17V2 (900-00018.D)_910-00023.H и ПУ 910-00012.I</v>
      </c>
      <c r="U1156" s="8">
        <v>5740.0</v>
      </c>
      <c r="V1156" s="8">
        <v>0.0</v>
      </c>
      <c r="W1156" s="17">
        <f t="shared" si="127"/>
        <v>15364.8</v>
      </c>
      <c r="X1156" s="14">
        <f t="shared" si="123"/>
        <v>0.6242115795</v>
      </c>
      <c r="Y1156" s="15">
        <f t="shared" si="124"/>
        <v>0</v>
      </c>
    </row>
    <row r="1157" hidden="1">
      <c r="A1157" s="7">
        <v>44126.83205025463</v>
      </c>
      <c r="B1157" s="8" t="s">
        <v>89</v>
      </c>
      <c r="C1157" s="8">
        <v>60000.0</v>
      </c>
      <c r="D1157" s="8" t="s">
        <v>69</v>
      </c>
      <c r="F1157" s="8" t="s">
        <v>72</v>
      </c>
      <c r="G1157" s="8">
        <v>3253.0</v>
      </c>
      <c r="H1157" s="8" t="s">
        <v>29</v>
      </c>
      <c r="I1157" s="8" t="s">
        <v>95</v>
      </c>
      <c r="L1157" s="8" t="s">
        <v>37</v>
      </c>
      <c r="P1157" s="9">
        <v>44126.0</v>
      </c>
      <c r="Q1157" s="10">
        <v>0.008333333331393078</v>
      </c>
      <c r="R1157" s="11" t="str">
        <f t="shared" si="1"/>
        <v>Пайка компонентов PRI</v>
      </c>
      <c r="S1157" s="12" t="str">
        <f>iferror(VLOOKUP(C1157,'ФИО'!A:B,2,0),"учётный код не найден")</f>
        <v>THT</v>
      </c>
      <c r="T1157" s="13" t="str">
        <f t="shared" si="2"/>
        <v>915-00095.A - ПКД-8В-1 АСЛБ.467249.108 (Квант)</v>
      </c>
      <c r="U1157" s="8">
        <v>8.0</v>
      </c>
      <c r="V1157" s="8">
        <v>0.0</v>
      </c>
      <c r="W1157" s="17" t="str">
        <f t="shared" si="127"/>
        <v>Данные не заполены</v>
      </c>
      <c r="X1157" s="14" t="str">
        <f t="shared" si="123"/>
        <v>Данные не заполены</v>
      </c>
      <c r="Y1157" s="15">
        <f t="shared" si="124"/>
        <v>0</v>
      </c>
    </row>
    <row r="1158" hidden="1">
      <c r="A1158" s="7">
        <v>44126.832450057875</v>
      </c>
      <c r="B1158" s="8" t="s">
        <v>89</v>
      </c>
      <c r="C1158" s="8">
        <v>60000.0</v>
      </c>
      <c r="D1158" s="8" t="s">
        <v>69</v>
      </c>
      <c r="F1158" s="8" t="s">
        <v>72</v>
      </c>
      <c r="G1158" s="8">
        <v>3252.0</v>
      </c>
      <c r="H1158" s="8" t="s">
        <v>29</v>
      </c>
      <c r="I1158" s="8" t="s">
        <v>96</v>
      </c>
      <c r="L1158" s="8" t="s">
        <v>37</v>
      </c>
      <c r="P1158" s="9">
        <v>44126.0</v>
      </c>
      <c r="Q1158" s="10">
        <v>0.004166666665696539</v>
      </c>
      <c r="R1158" s="11" t="str">
        <f t="shared" si="1"/>
        <v>Пайка компонентов PRI</v>
      </c>
      <c r="S1158" s="12" t="str">
        <f>iferror(VLOOKUP(C1158,'ФИО'!A:B,2,0),"учётный код не найден")</f>
        <v>THT</v>
      </c>
      <c r="T1158" s="13" t="str">
        <f t="shared" si="2"/>
        <v>915-00096.A - ПКД-8В-2 АСЛБ.467249.109</v>
      </c>
      <c r="U1158" s="8">
        <v>4.0</v>
      </c>
      <c r="V1158" s="8">
        <v>0.0</v>
      </c>
      <c r="W1158" s="17" t="str">
        <f t="shared" si="127"/>
        <v>Данные не заполены</v>
      </c>
      <c r="X1158" s="14" t="str">
        <f t="shared" si="123"/>
        <v>Данные не заполены</v>
      </c>
      <c r="Y1158" s="15">
        <f t="shared" si="124"/>
        <v>0</v>
      </c>
    </row>
    <row r="1159" hidden="1">
      <c r="A1159" s="7">
        <v>44126.788103009254</v>
      </c>
      <c r="B1159" s="8" t="s">
        <v>89</v>
      </c>
      <c r="C1159" s="8">
        <v>20693.0</v>
      </c>
      <c r="D1159" s="8" t="s">
        <v>27</v>
      </c>
      <c r="E1159" s="8" t="s">
        <v>160</v>
      </c>
      <c r="G1159" s="8">
        <v>3621.0</v>
      </c>
      <c r="H1159" s="8" t="s">
        <v>29</v>
      </c>
      <c r="I1159" s="8" t="s">
        <v>30</v>
      </c>
      <c r="L1159" s="8" t="s">
        <v>31</v>
      </c>
      <c r="M1159" s="8" t="s">
        <v>34</v>
      </c>
      <c r="P1159" s="9">
        <v>44126.0</v>
      </c>
      <c r="Q1159" s="10">
        <v>0.08333333333575865</v>
      </c>
      <c r="R1159" s="11" t="str">
        <f t="shared" si="1"/>
        <v>Проверка программы установщиков</v>
      </c>
      <c r="S1159" s="16" t="str">
        <f>iferror(VLOOKUP(C1159,'ФИО'!A:B,2,0),"учётный код не найден")</f>
        <v>Аникина Раиса Владимировна</v>
      </c>
      <c r="T1159" s="13" t="str">
        <f t="shared" si="2"/>
        <v>915-00121.A - Процессорный модуль РСЕН.469555.027 (КНС Групп) в ТС</v>
      </c>
      <c r="U1159" s="8">
        <v>1.0</v>
      </c>
      <c r="V1159" s="8">
        <v>0.0</v>
      </c>
      <c r="W1159" s="17" t="str">
        <f t="shared" si="127"/>
        <v>Данные не заполены</v>
      </c>
      <c r="X1159" s="14" t="str">
        <f t="shared" si="123"/>
        <v>Данные не заполены</v>
      </c>
      <c r="Y1159" s="15">
        <f t="shared" si="124"/>
        <v>0</v>
      </c>
    </row>
    <row r="1160" hidden="1">
      <c r="A1160" s="7">
        <v>44116.32683559028</v>
      </c>
      <c r="B1160" s="8" t="s">
        <v>38</v>
      </c>
      <c r="C1160" s="8">
        <v>20751.0</v>
      </c>
      <c r="D1160" s="8" t="s">
        <v>27</v>
      </c>
      <c r="E1160" s="8" t="s">
        <v>67</v>
      </c>
      <c r="G1160" s="8">
        <v>3750.0</v>
      </c>
      <c r="H1160" s="8" t="s">
        <v>45</v>
      </c>
      <c r="K1160" s="8" t="s">
        <v>46</v>
      </c>
      <c r="L1160" s="8" t="s">
        <v>37</v>
      </c>
      <c r="P1160" s="9">
        <v>44115.0</v>
      </c>
      <c r="Q1160" s="10">
        <v>0.3861111111109494</v>
      </c>
      <c r="R1160" s="11" t="str">
        <f t="shared" si="1"/>
        <v>Сборка на линии Prim</v>
      </c>
      <c r="S1160" s="16" t="str">
        <f>iferror(VLOOKUP(C1160,'ФИО'!A:B,2,0),"учётный код не найден")</f>
        <v>Кезерев Виталий Романович</v>
      </c>
      <c r="T1160" s="13" t="str">
        <f t="shared" si="2"/>
        <v>ПУ 910-00349.A "Печатный узел основного блока E96 4LIN"</v>
      </c>
      <c r="U1160" s="8">
        <v>908.0</v>
      </c>
      <c r="V1160" s="8">
        <v>0.0</v>
      </c>
      <c r="W1160" s="21" t="str">
        <f t="shared" si="127"/>
        <v>Данные не заполены</v>
      </c>
      <c r="X1160" s="15" t="str">
        <f t="shared" si="123"/>
        <v>Данные не заполены</v>
      </c>
      <c r="Y1160" s="15">
        <f t="shared" si="124"/>
        <v>0</v>
      </c>
    </row>
    <row r="1161" hidden="1">
      <c r="A1161" s="7">
        <v>44130.253412465274</v>
      </c>
      <c r="B1161" s="8" t="s">
        <v>76</v>
      </c>
      <c r="C1161" s="8">
        <v>20693.0</v>
      </c>
      <c r="D1161" s="8" t="s">
        <v>27</v>
      </c>
      <c r="E1161" s="8" t="s">
        <v>160</v>
      </c>
      <c r="G1161" s="8">
        <v>3621.0</v>
      </c>
      <c r="H1161" s="8" t="s">
        <v>29</v>
      </c>
      <c r="I1161" s="8" t="s">
        <v>54</v>
      </c>
      <c r="L1161" s="8" t="s">
        <v>31</v>
      </c>
      <c r="M1161" s="8" t="s">
        <v>34</v>
      </c>
      <c r="P1161" s="9">
        <v>44129.0</v>
      </c>
      <c r="Q1161" s="10">
        <v>0.27083333333575865</v>
      </c>
      <c r="R1161" s="11" t="str">
        <f t="shared" si="1"/>
        <v>Проверка программы установщиков</v>
      </c>
      <c r="S1161" s="12" t="str">
        <f>iferror(VLOOKUP(C1161,'ФИО'!A:B,2,0),"учётный код не найден")</f>
        <v>Аникина Раиса Владимировна</v>
      </c>
      <c r="T1161" s="13" t="str">
        <f t="shared" si="2"/>
        <v>915-00121.A - Процессорный модуль РСЕН.469555.027 (КНС Групп)</v>
      </c>
      <c r="U1161" s="8">
        <v>1.0</v>
      </c>
      <c r="V1161" s="8">
        <v>0.0</v>
      </c>
      <c r="W1161" s="17" t="str">
        <f t="shared" si="127"/>
        <v>Данные не заполены</v>
      </c>
      <c r="X1161" s="14" t="str">
        <f t="shared" si="123"/>
        <v>Данные не заполены</v>
      </c>
      <c r="Y1161" s="15">
        <f t="shared" si="124"/>
        <v>0</v>
      </c>
    </row>
    <row r="1162" hidden="1">
      <c r="A1162" s="7">
        <v>44130.31792027778</v>
      </c>
      <c r="B1162" s="8" t="s">
        <v>76</v>
      </c>
      <c r="C1162" s="8">
        <v>21852.0</v>
      </c>
      <c r="D1162" s="8" t="s">
        <v>27</v>
      </c>
      <c r="E1162" s="8" t="s">
        <v>160</v>
      </c>
      <c r="G1162" s="8">
        <v>3793.0</v>
      </c>
      <c r="H1162" s="8" t="s">
        <v>29</v>
      </c>
      <c r="I1162" s="8" t="s">
        <v>163</v>
      </c>
      <c r="L1162" s="8" t="s">
        <v>31</v>
      </c>
      <c r="M1162" s="8" t="s">
        <v>34</v>
      </c>
      <c r="P1162" s="9">
        <v>44129.0</v>
      </c>
      <c r="Q1162" s="10">
        <v>0.16666666666424135</v>
      </c>
      <c r="R1162" s="11" t="str">
        <f t="shared" si="1"/>
        <v>Проверка программы установщиков</v>
      </c>
      <c r="S1162" s="12" t="str">
        <f>iferror(VLOOKUP(C1162,'ФИО'!A:B,2,0),"учётный код не найден")</f>
        <v>Пономарев Юрий Андреевич</v>
      </c>
      <c r="T1162" s="13" t="str">
        <f t="shared" si="2"/>
        <v>915-00068.A - uklsip(s)220_v3.01 (Гефест)</v>
      </c>
      <c r="U1162" s="8">
        <v>0.0</v>
      </c>
      <c r="V1162" s="8">
        <v>0.0</v>
      </c>
      <c r="W1162" s="17" t="str">
        <f t="shared" si="127"/>
        <v>Данные не заполены</v>
      </c>
      <c r="X1162" s="14" t="str">
        <f t="shared" si="123"/>
        <v>Данные не заполены</v>
      </c>
      <c r="Y1162" s="15">
        <f t="shared" si="124"/>
        <v>0</v>
      </c>
    </row>
    <row r="1163" hidden="1">
      <c r="A1163" s="7">
        <v>44131.817653125</v>
      </c>
      <c r="B1163" s="8" t="s">
        <v>87</v>
      </c>
      <c r="C1163" s="8">
        <v>21426.0</v>
      </c>
      <c r="D1163" s="8" t="s">
        <v>27</v>
      </c>
      <c r="E1163" s="8" t="s">
        <v>160</v>
      </c>
      <c r="G1163" s="8">
        <v>3621.0</v>
      </c>
      <c r="H1163" s="8" t="s">
        <v>29</v>
      </c>
      <c r="I1163" s="8" t="s">
        <v>54</v>
      </c>
      <c r="L1163" s="8" t="s">
        <v>31</v>
      </c>
      <c r="M1163" s="8" t="s">
        <v>34</v>
      </c>
      <c r="P1163" s="9">
        <v>44131.0</v>
      </c>
      <c r="Q1163" s="10">
        <v>0.04166666666424135</v>
      </c>
      <c r="R1163" s="11" t="str">
        <f t="shared" si="1"/>
        <v>Проверка программы установщиков</v>
      </c>
      <c r="S1163" s="12" t="str">
        <f>iferror(VLOOKUP(C1163,'ФИО'!A:B,2,0),"учётный код не найден")</f>
        <v>Скибинский Антон Германович</v>
      </c>
      <c r="T1163" s="13" t="str">
        <f t="shared" si="2"/>
        <v>915-00121.A - Процессорный модуль РСЕН.469555.027 (КНС Групп)</v>
      </c>
      <c r="U1163" s="8">
        <v>0.0</v>
      </c>
      <c r="V1163" s="8">
        <v>0.0</v>
      </c>
      <c r="W1163" s="17" t="str">
        <f t="shared" si="127"/>
        <v>Данные не заполены</v>
      </c>
      <c r="X1163" s="14" t="str">
        <f t="shared" si="123"/>
        <v>Данные не заполены</v>
      </c>
      <c r="Y1163" s="15">
        <f t="shared" si="124"/>
        <v>0</v>
      </c>
    </row>
    <row r="1164" hidden="1">
      <c r="A1164" s="7">
        <v>44121.820661527774</v>
      </c>
      <c r="B1164" s="8" t="s">
        <v>26</v>
      </c>
      <c r="C1164" s="8">
        <v>21475.0</v>
      </c>
      <c r="D1164" s="8" t="s">
        <v>27</v>
      </c>
      <c r="E1164" s="8" t="s">
        <v>256</v>
      </c>
      <c r="G1164" s="8">
        <v>3238.0</v>
      </c>
      <c r="H1164" s="8" t="s">
        <v>29</v>
      </c>
      <c r="I1164" s="8" t="s">
        <v>43</v>
      </c>
      <c r="L1164" s="8" t="s">
        <v>31</v>
      </c>
      <c r="M1164" s="8" t="s">
        <v>34</v>
      </c>
      <c r="P1164" s="9">
        <v>44121.0</v>
      </c>
      <c r="Q1164" s="10">
        <v>0.04166666666424135</v>
      </c>
      <c r="R1164" s="11" t="str">
        <f t="shared" si="1"/>
        <v>Сортировка</v>
      </c>
      <c r="S1164" s="16" t="str">
        <f>iferror(VLOOKUP(C1164,'ФИО'!A:B,2,0),"учётный код не найден")</f>
        <v>Байрамашвили Альберт Зурабович</v>
      </c>
      <c r="T1164" s="13" t="str">
        <f t="shared" si="2"/>
        <v>915-00097.A - ПКД-8В-3 АСЛБ.467249.110 (Квант)</v>
      </c>
      <c r="U1164" s="8">
        <v>0.0</v>
      </c>
      <c r="V1164" s="8">
        <v>0.0</v>
      </c>
      <c r="W1164" s="17" t="str">
        <f t="shared" si="127"/>
        <v>Данные не заполены</v>
      </c>
      <c r="X1164" s="14" t="str">
        <f t="shared" si="123"/>
        <v>Данные не заполены</v>
      </c>
      <c r="Y1164" s="15">
        <f t="shared" si="124"/>
        <v>0</v>
      </c>
    </row>
    <row r="1165" hidden="1">
      <c r="A1165" s="7">
        <v>44106.83060342593</v>
      </c>
      <c r="B1165" s="8" t="s">
        <v>87</v>
      </c>
      <c r="C1165" s="8">
        <v>21426.0</v>
      </c>
      <c r="D1165" s="8" t="s">
        <v>27</v>
      </c>
      <c r="E1165" s="8" t="s">
        <v>68</v>
      </c>
      <c r="L1165" s="8" t="s">
        <v>31</v>
      </c>
      <c r="M1165" s="8" t="s">
        <v>34</v>
      </c>
      <c r="N1165" s="8"/>
      <c r="O1165" s="8"/>
      <c r="P1165" s="9">
        <v>44106.0</v>
      </c>
      <c r="Q1165" s="10">
        <v>0.14583333333575865</v>
      </c>
      <c r="R1165" s="13" t="str">
        <f t="shared" si="1"/>
        <v>Прохождение обучения</v>
      </c>
      <c r="S1165" s="16" t="str">
        <f>iferror(VLOOKUP(C1165,'ФИО'!A:B,2,0),"учётный код не найден")</f>
        <v>Скибинский Антон Германович</v>
      </c>
      <c r="T1165" s="13" t="str">
        <f t="shared" si="2"/>
        <v/>
      </c>
      <c r="W1165" s="21" t="str">
        <f t="shared" si="127"/>
        <v>Данные не заполены</v>
      </c>
      <c r="X1165" s="15" t="str">
        <f t="shared" si="123"/>
        <v>Данные не заполены</v>
      </c>
      <c r="Y1165" s="15">
        <f t="shared" si="124"/>
        <v>0</v>
      </c>
    </row>
    <row r="1166" hidden="1">
      <c r="A1166" s="7">
        <v>44118.83114947917</v>
      </c>
      <c r="B1166" s="8" t="s">
        <v>89</v>
      </c>
      <c r="C1166" s="8">
        <v>20693.0</v>
      </c>
      <c r="D1166" s="8" t="s">
        <v>27</v>
      </c>
      <c r="E1166" s="8" t="s">
        <v>68</v>
      </c>
      <c r="L1166" s="8" t="s">
        <v>31</v>
      </c>
      <c r="M1166" s="8" t="s">
        <v>34</v>
      </c>
      <c r="P1166" s="9">
        <v>44118.0</v>
      </c>
      <c r="Q1166" s="10">
        <v>0.020833333335758653</v>
      </c>
      <c r="R1166" s="11" t="str">
        <f t="shared" si="1"/>
        <v>Прохождение обучения</v>
      </c>
      <c r="S1166" s="16" t="str">
        <f>iferror(VLOOKUP(C1166,'ФИО'!A:B,2,0),"учётный код не найден")</f>
        <v>Аникина Раиса Владимировна</v>
      </c>
      <c r="T1166" s="13" t="str">
        <f t="shared" si="2"/>
        <v/>
      </c>
      <c r="W1166" s="17" t="str">
        <f t="shared" si="127"/>
        <v>Данные не заполены</v>
      </c>
      <c r="X1166" s="14" t="str">
        <f t="shared" si="123"/>
        <v>Данные не заполены</v>
      </c>
      <c r="Y1166" s="15">
        <f t="shared" si="124"/>
        <v>0</v>
      </c>
    </row>
    <row r="1167" hidden="1">
      <c r="A1167" s="7">
        <v>44118.832871192135</v>
      </c>
      <c r="B1167" s="8" t="s">
        <v>89</v>
      </c>
      <c r="C1167" s="8">
        <v>22011.0</v>
      </c>
      <c r="D1167" s="8" t="s">
        <v>27</v>
      </c>
      <c r="E1167" s="8" t="s">
        <v>68</v>
      </c>
      <c r="L1167" s="8" t="s">
        <v>31</v>
      </c>
      <c r="M1167" s="8" t="s">
        <v>34</v>
      </c>
      <c r="P1167" s="9">
        <v>44118.0</v>
      </c>
      <c r="Q1167" s="10">
        <v>0.020833333335758653</v>
      </c>
      <c r="R1167" s="11" t="str">
        <f t="shared" si="1"/>
        <v>Прохождение обучения</v>
      </c>
      <c r="S1167" s="16" t="str">
        <f>iferror(VLOOKUP(C1167,'ФИО'!A:B,2,0),"учётный код не найден")</f>
        <v>Сергеев Алексей Андреевич</v>
      </c>
      <c r="T1167" s="13" t="str">
        <f t="shared" si="2"/>
        <v/>
      </c>
      <c r="W1167" s="17" t="str">
        <f t="shared" si="127"/>
        <v>Данные не заполены</v>
      </c>
      <c r="X1167" s="14" t="str">
        <f t="shared" si="123"/>
        <v>Данные не заполены</v>
      </c>
      <c r="Y1167" s="15">
        <f t="shared" si="124"/>
        <v>0</v>
      </c>
    </row>
    <row r="1168" hidden="1">
      <c r="A1168" s="7">
        <v>44119.309460868055</v>
      </c>
      <c r="B1168" s="8" t="s">
        <v>94</v>
      </c>
      <c r="C1168" s="8">
        <v>22131.0</v>
      </c>
      <c r="D1168" s="8" t="s">
        <v>27</v>
      </c>
      <c r="E1168" s="8" t="s">
        <v>68</v>
      </c>
      <c r="L1168" s="8" t="s">
        <v>31</v>
      </c>
      <c r="M1168" s="8" t="s">
        <v>34</v>
      </c>
      <c r="P1168" s="9">
        <v>44118.0</v>
      </c>
      <c r="Q1168" s="10">
        <v>0.10416666666424135</v>
      </c>
      <c r="R1168" s="11" t="str">
        <f t="shared" si="1"/>
        <v>Прохождение обучения</v>
      </c>
      <c r="S1168" s="16" t="str">
        <f>iferror(VLOOKUP(C1168,'ФИО'!A:B,2,0),"учётный код не найден")</f>
        <v>Стосик Степан Владимирович</v>
      </c>
      <c r="T1168" s="13" t="str">
        <f t="shared" si="2"/>
        <v/>
      </c>
      <c r="W1168" s="17" t="str">
        <f t="shared" si="127"/>
        <v>Данные не заполены</v>
      </c>
      <c r="X1168" s="14" t="str">
        <f t="shared" si="123"/>
        <v>Данные не заполены</v>
      </c>
      <c r="Y1168" s="15">
        <f t="shared" si="124"/>
        <v>0</v>
      </c>
    </row>
    <row r="1169" hidden="1">
      <c r="A1169" s="7">
        <v>44119.31840034723</v>
      </c>
      <c r="B1169" s="8" t="s">
        <v>94</v>
      </c>
      <c r="C1169" s="8">
        <v>21426.0</v>
      </c>
      <c r="D1169" s="8" t="s">
        <v>27</v>
      </c>
      <c r="E1169" s="8" t="s">
        <v>68</v>
      </c>
      <c r="L1169" s="8" t="s">
        <v>31</v>
      </c>
      <c r="M1169" s="8" t="s">
        <v>34</v>
      </c>
      <c r="P1169" s="9">
        <v>44118.0</v>
      </c>
      <c r="Q1169" s="10">
        <v>0.125</v>
      </c>
      <c r="R1169" s="11" t="str">
        <f t="shared" si="1"/>
        <v>Прохождение обучения</v>
      </c>
      <c r="S1169" s="16" t="str">
        <f>iferror(VLOOKUP(C1169,'ФИО'!A:B,2,0),"учётный код не найден")</f>
        <v>Скибинский Антон Германович</v>
      </c>
      <c r="T1169" s="13" t="str">
        <f t="shared" si="2"/>
        <v/>
      </c>
      <c r="W1169" s="17" t="str">
        <f t="shared" si="127"/>
        <v>Данные не заполены</v>
      </c>
      <c r="X1169" s="14" t="str">
        <f t="shared" si="123"/>
        <v>Данные не заполены</v>
      </c>
      <c r="Y1169" s="15">
        <f t="shared" si="124"/>
        <v>0</v>
      </c>
    </row>
    <row r="1170" hidden="1">
      <c r="A1170" s="7">
        <v>44119.32319810185</v>
      </c>
      <c r="B1170" s="8" t="s">
        <v>94</v>
      </c>
      <c r="C1170" s="8">
        <v>21928.0</v>
      </c>
      <c r="D1170" s="8" t="s">
        <v>27</v>
      </c>
      <c r="E1170" s="8" t="s">
        <v>68</v>
      </c>
      <c r="L1170" s="8" t="s">
        <v>31</v>
      </c>
      <c r="M1170" s="8" t="s">
        <v>34</v>
      </c>
      <c r="P1170" s="9">
        <v>44118.0</v>
      </c>
      <c r="Q1170" s="10">
        <v>0.14583333333575865</v>
      </c>
      <c r="R1170" s="11" t="str">
        <f t="shared" si="1"/>
        <v>Прохождение обучения</v>
      </c>
      <c r="S1170" s="16" t="str">
        <f>iferror(VLOOKUP(C1170,'ФИО'!A:B,2,0),"учётный код не найден")</f>
        <v>Савченко Виктория Андреевна</v>
      </c>
      <c r="T1170" s="13" t="str">
        <f t="shared" si="2"/>
        <v/>
      </c>
      <c r="W1170" s="17" t="str">
        <f t="shared" si="127"/>
        <v>Данные не заполены</v>
      </c>
      <c r="X1170" s="14" t="str">
        <f t="shared" si="123"/>
        <v>Данные не заполены</v>
      </c>
      <c r="Y1170" s="15">
        <f t="shared" si="124"/>
        <v>0</v>
      </c>
    </row>
    <row r="1171" hidden="1">
      <c r="A1171" s="7">
        <v>44119.30589645833</v>
      </c>
      <c r="B1171" s="8" t="s">
        <v>94</v>
      </c>
      <c r="C1171" s="8">
        <v>20985.0</v>
      </c>
      <c r="D1171" s="8" t="s">
        <v>27</v>
      </c>
      <c r="E1171" s="8" t="s">
        <v>68</v>
      </c>
      <c r="L1171" s="8" t="s">
        <v>31</v>
      </c>
      <c r="M1171" s="8" t="s">
        <v>34</v>
      </c>
      <c r="P1171" s="9">
        <v>44118.0</v>
      </c>
      <c r="Q1171" s="10">
        <v>0.14583333333575865</v>
      </c>
      <c r="R1171" s="11" t="str">
        <f t="shared" si="1"/>
        <v>Прохождение обучения</v>
      </c>
      <c r="S1171" s="16" t="str">
        <f>iferror(VLOOKUP(C1171,'ФИО'!A:B,2,0),"учётный код не найден")</f>
        <v>Никонорова Наталия Владимировна</v>
      </c>
      <c r="T1171" s="13" t="str">
        <f t="shared" si="2"/>
        <v/>
      </c>
      <c r="W1171" s="17" t="str">
        <f t="shared" si="127"/>
        <v>Данные не заполены</v>
      </c>
      <c r="X1171" s="14" t="str">
        <f t="shared" si="123"/>
        <v>Данные не заполены</v>
      </c>
      <c r="Y1171" s="15">
        <f t="shared" si="124"/>
        <v>0</v>
      </c>
    </row>
    <row r="1172" hidden="1">
      <c r="A1172" s="7">
        <v>44127.30945327546</v>
      </c>
      <c r="B1172" s="8" t="s">
        <v>94</v>
      </c>
      <c r="C1172" s="8">
        <v>50000.0</v>
      </c>
      <c r="D1172" s="8" t="s">
        <v>27</v>
      </c>
      <c r="E1172" s="8" t="s">
        <v>67</v>
      </c>
      <c r="G1172" s="8">
        <v>3804.0</v>
      </c>
      <c r="H1172" s="8" t="s">
        <v>45</v>
      </c>
      <c r="K1172" s="8" t="s">
        <v>52</v>
      </c>
      <c r="L1172" s="8" t="s">
        <v>37</v>
      </c>
      <c r="N1172" s="8">
        <v>10.0</v>
      </c>
      <c r="O1172" s="8">
        <v>24.0</v>
      </c>
      <c r="P1172" s="9">
        <v>44126.0</v>
      </c>
      <c r="Q1172" s="10">
        <v>0.24791666666715173</v>
      </c>
      <c r="R1172" s="11" t="str">
        <f t="shared" si="1"/>
        <v>Сборка на линии Prim</v>
      </c>
      <c r="S1172" s="16" t="str">
        <f>iferror(VLOOKUP(C1172,'ФИО'!A:B,2,0),"учётный код не найден")</f>
        <v>SMT</v>
      </c>
      <c r="T1172" s="13" t="str">
        <f t="shared" si="2"/>
        <v>М17V2 (900-00018.D)_910-00023.H и ПУ 910-00012.I</v>
      </c>
      <c r="U1172" s="8">
        <v>2350.0</v>
      </c>
      <c r="V1172" s="8">
        <v>0.0</v>
      </c>
      <c r="W1172" s="17">
        <f t="shared" si="127"/>
        <v>7682.4</v>
      </c>
      <c r="X1172" s="14">
        <f t="shared" si="123"/>
        <v>0.5655183035</v>
      </c>
      <c r="Y1172" s="15">
        <f t="shared" si="124"/>
        <v>0</v>
      </c>
    </row>
    <row r="1173" hidden="1">
      <c r="A1173" s="7">
        <v>44119.30831552083</v>
      </c>
      <c r="B1173" s="8" t="s">
        <v>94</v>
      </c>
      <c r="C1173" s="8">
        <v>22575.0</v>
      </c>
      <c r="D1173" s="8" t="s">
        <v>69</v>
      </c>
      <c r="F1173" s="8" t="s">
        <v>80</v>
      </c>
      <c r="G1173" s="8">
        <v>2958.0</v>
      </c>
      <c r="H1173" s="8" t="s">
        <v>29</v>
      </c>
      <c r="I1173" s="8" t="s">
        <v>212</v>
      </c>
      <c r="L1173" s="8" t="s">
        <v>37</v>
      </c>
      <c r="P1173" s="9">
        <v>44118.0</v>
      </c>
      <c r="Q1173" s="10">
        <v>0.09722222221898846</v>
      </c>
      <c r="R1173" s="11" t="str">
        <f t="shared" si="1"/>
        <v>Пайка компонентов SEC</v>
      </c>
      <c r="S1173" s="16" t="str">
        <f>iferror(VLOOKUP(C1173,'ФИО'!A:B,2,0),"учётный код не найден")</f>
        <v>Куликов Виктор Алексеевич</v>
      </c>
      <c r="T1173" s="13" t="str">
        <f t="shared" si="2"/>
        <v>КТ-500 (Производственный Альянс)</v>
      </c>
      <c r="U1173" s="8">
        <v>0.0</v>
      </c>
      <c r="V1173" s="8">
        <v>0.0</v>
      </c>
      <c r="W1173" s="17" t="str">
        <f t="shared" si="127"/>
        <v>Данные не заполены</v>
      </c>
      <c r="X1173" s="14" t="str">
        <f t="shared" si="123"/>
        <v>Данные не заполены</v>
      </c>
      <c r="Y1173" s="15">
        <f t="shared" si="124"/>
        <v>0</v>
      </c>
    </row>
    <row r="1174" hidden="1">
      <c r="A1174" s="7">
        <v>44119.816485752315</v>
      </c>
      <c r="B1174" s="8" t="s">
        <v>89</v>
      </c>
      <c r="C1174" s="8">
        <v>20693.0</v>
      </c>
      <c r="D1174" s="8" t="s">
        <v>27</v>
      </c>
      <c r="E1174" s="8" t="s">
        <v>68</v>
      </c>
      <c r="L1174" s="8" t="s">
        <v>31</v>
      </c>
      <c r="M1174" s="8" t="s">
        <v>34</v>
      </c>
      <c r="P1174" s="9">
        <v>44119.0</v>
      </c>
      <c r="Q1174" s="10">
        <v>0.020833333335758653</v>
      </c>
      <c r="R1174" s="11" t="str">
        <f t="shared" si="1"/>
        <v>Прохождение обучения</v>
      </c>
      <c r="S1174" s="16" t="str">
        <f>iferror(VLOOKUP(C1174,'ФИО'!A:B,2,0),"учётный код не найден")</f>
        <v>Аникина Раиса Владимировна</v>
      </c>
      <c r="T1174" s="13" t="str">
        <f t="shared" si="2"/>
        <v/>
      </c>
      <c r="U1174" s="8">
        <v>0.0</v>
      </c>
      <c r="V1174" s="8">
        <v>0.0</v>
      </c>
      <c r="W1174" s="17" t="str">
        <f t="shared" si="127"/>
        <v>Данные не заполены</v>
      </c>
      <c r="X1174" s="14" t="str">
        <f t="shared" si="123"/>
        <v>Данные не заполены</v>
      </c>
      <c r="Y1174" s="15">
        <f t="shared" si="124"/>
        <v>0</v>
      </c>
    </row>
    <row r="1175" hidden="1">
      <c r="A1175" s="7">
        <v>44119.82973616898</v>
      </c>
      <c r="B1175" s="8" t="s">
        <v>89</v>
      </c>
      <c r="C1175" s="8">
        <v>21852.0</v>
      </c>
      <c r="D1175" s="8" t="s">
        <v>27</v>
      </c>
      <c r="E1175" s="8" t="s">
        <v>68</v>
      </c>
      <c r="L1175" s="8" t="s">
        <v>31</v>
      </c>
      <c r="M1175" s="8" t="s">
        <v>213</v>
      </c>
      <c r="P1175" s="9">
        <v>44119.0</v>
      </c>
      <c r="Q1175" s="10">
        <v>0.04166666666424135</v>
      </c>
      <c r="R1175" s="11" t="str">
        <f t="shared" si="1"/>
        <v>Прохождение обучения</v>
      </c>
      <c r="S1175" s="16" t="str">
        <f>iferror(VLOOKUP(C1175,'ФИО'!A:B,2,0),"учётный код не найден")</f>
        <v>Пономарев Юрий Андреевич</v>
      </c>
      <c r="T1175" s="13" t="str">
        <f t="shared" si="2"/>
        <v/>
      </c>
      <c r="U1175" s="8">
        <v>0.0</v>
      </c>
      <c r="V1175" s="8">
        <v>0.0</v>
      </c>
      <c r="W1175" s="17" t="str">
        <f t="shared" si="127"/>
        <v>Данные не заполены</v>
      </c>
      <c r="X1175" s="14" t="str">
        <f t="shared" si="123"/>
        <v>Данные не заполены</v>
      </c>
      <c r="Y1175" s="15">
        <f t="shared" si="124"/>
        <v>0</v>
      </c>
    </row>
    <row r="1176" hidden="1">
      <c r="A1176" s="7">
        <v>44119.82815328704</v>
      </c>
      <c r="B1176" s="8" t="s">
        <v>89</v>
      </c>
      <c r="C1176" s="8">
        <v>22011.0</v>
      </c>
      <c r="D1176" s="8" t="s">
        <v>27</v>
      </c>
      <c r="E1176" s="8" t="s">
        <v>68</v>
      </c>
      <c r="L1176" s="8" t="s">
        <v>31</v>
      </c>
      <c r="M1176" s="8" t="s">
        <v>34</v>
      </c>
      <c r="P1176" s="9">
        <v>44119.0</v>
      </c>
      <c r="Q1176" s="10">
        <v>0.04166666666424135</v>
      </c>
      <c r="R1176" s="11" t="str">
        <f t="shared" si="1"/>
        <v>Прохождение обучения</v>
      </c>
      <c r="S1176" s="16" t="str">
        <f>iferror(VLOOKUP(C1176,'ФИО'!A:B,2,0),"учётный код не найден")</f>
        <v>Сергеев Алексей Андреевич</v>
      </c>
      <c r="T1176" s="13" t="str">
        <f t="shared" si="2"/>
        <v/>
      </c>
      <c r="U1176" s="8">
        <v>0.0</v>
      </c>
      <c r="V1176" s="8">
        <v>0.0</v>
      </c>
      <c r="W1176" s="17" t="str">
        <f t="shared" si="127"/>
        <v>Данные не заполены</v>
      </c>
      <c r="X1176" s="14" t="str">
        <f t="shared" si="123"/>
        <v>Данные не заполены</v>
      </c>
      <c r="Y1176" s="15">
        <f t="shared" si="124"/>
        <v>0</v>
      </c>
    </row>
    <row r="1177" hidden="1">
      <c r="A1177" s="7">
        <v>44127.8213696412</v>
      </c>
      <c r="B1177" s="8" t="s">
        <v>89</v>
      </c>
      <c r="C1177" s="8">
        <v>21852.0</v>
      </c>
      <c r="D1177" s="8" t="s">
        <v>27</v>
      </c>
      <c r="E1177" s="8" t="s">
        <v>67</v>
      </c>
      <c r="G1177" s="8">
        <v>3804.0</v>
      </c>
      <c r="H1177" s="8" t="s">
        <v>45</v>
      </c>
      <c r="K1177" s="8" t="s">
        <v>52</v>
      </c>
      <c r="L1177" s="8" t="s">
        <v>37</v>
      </c>
      <c r="P1177" s="9">
        <v>44127.0</v>
      </c>
      <c r="Q1177" s="10">
        <v>0.15277777778101154</v>
      </c>
      <c r="R1177" s="11" t="str">
        <f t="shared" si="1"/>
        <v>Сборка на линии Prim</v>
      </c>
      <c r="S1177" s="16" t="str">
        <f>iferror(VLOOKUP(C1177,'ФИО'!A:B,2,0),"учётный код не найден")</f>
        <v>Пономарев Юрий Андреевич</v>
      </c>
      <c r="T1177" s="13" t="str">
        <f t="shared" si="2"/>
        <v>М17V2 (900-00018.D)_910-00023.H и ПУ 910-00012.I</v>
      </c>
      <c r="U1177" s="8">
        <v>0.0</v>
      </c>
      <c r="V1177" s="8">
        <v>0.0</v>
      </c>
      <c r="W1177" s="17" t="str">
        <f t="shared" si="127"/>
        <v>Данные не заполены</v>
      </c>
      <c r="X1177" s="14" t="str">
        <f t="shared" si="123"/>
        <v>Данные не заполены</v>
      </c>
      <c r="Y1177" s="15">
        <f t="shared" si="124"/>
        <v>0</v>
      </c>
    </row>
    <row r="1178" hidden="1">
      <c r="A1178" s="7">
        <v>44129.33157643519</v>
      </c>
      <c r="B1178" s="8" t="s">
        <v>126</v>
      </c>
      <c r="C1178" s="8">
        <v>20849.0</v>
      </c>
      <c r="D1178" s="8" t="s">
        <v>27</v>
      </c>
      <c r="E1178" s="8" t="s">
        <v>160</v>
      </c>
      <c r="G1178" s="8">
        <v>3621.0</v>
      </c>
      <c r="H1178" s="8" t="s">
        <v>29</v>
      </c>
      <c r="I1178" s="8" t="s">
        <v>54</v>
      </c>
      <c r="L1178" s="8" t="s">
        <v>31</v>
      </c>
      <c r="M1178" s="8" t="s">
        <v>34</v>
      </c>
      <c r="P1178" s="9">
        <v>44128.0</v>
      </c>
      <c r="Q1178" s="10">
        <v>0.27083333333575865</v>
      </c>
      <c r="R1178" s="11" t="str">
        <f t="shared" si="1"/>
        <v>Проверка программы установщиков</v>
      </c>
      <c r="S1178" s="12" t="str">
        <f>iferror(VLOOKUP(C1178,'ФИО'!A:B,2,0),"учётный код не найден")</f>
        <v>Шилоносов Максим Евгеньевич</v>
      </c>
      <c r="T1178" s="13" t="str">
        <f t="shared" si="2"/>
        <v>915-00121.A - Процессорный модуль РСЕН.469555.027 (КНС Групп)</v>
      </c>
      <c r="U1178" s="8">
        <v>0.0</v>
      </c>
      <c r="V1178" s="8">
        <v>0.0</v>
      </c>
      <c r="W1178" s="17" t="str">
        <f t="shared" si="127"/>
        <v>Данные не заполены</v>
      </c>
      <c r="X1178" s="14" t="str">
        <f t="shared" si="123"/>
        <v>Данные не заполены</v>
      </c>
      <c r="Y1178" s="15">
        <f t="shared" si="124"/>
        <v>0</v>
      </c>
    </row>
    <row r="1179" hidden="1">
      <c r="A1179" s="7">
        <v>44122.802216145836</v>
      </c>
      <c r="B1179" s="8" t="s">
        <v>87</v>
      </c>
      <c r="C1179" s="8">
        <v>22575.0</v>
      </c>
      <c r="D1179" s="8" t="s">
        <v>27</v>
      </c>
      <c r="E1179" s="8" t="s">
        <v>84</v>
      </c>
      <c r="G1179" s="8">
        <v>3754.0</v>
      </c>
      <c r="H1179" s="8" t="s">
        <v>45</v>
      </c>
      <c r="K1179" s="8" t="s">
        <v>124</v>
      </c>
      <c r="L1179" s="8" t="s">
        <v>31</v>
      </c>
      <c r="M1179" s="8" t="s">
        <v>34</v>
      </c>
      <c r="P1179" s="9">
        <v>44122.0</v>
      </c>
      <c r="Q1179" s="10">
        <v>0.020833333335758653</v>
      </c>
      <c r="R1179" s="11" t="str">
        <f t="shared" si="1"/>
        <v>Настройка принтера Sec</v>
      </c>
      <c r="S1179" s="16" t="str">
        <f>iferror(VLOOKUP(C1179,'ФИО'!A:B,2,0),"учётный код не найден")</f>
        <v>Куликов Виктор Алексеевич</v>
      </c>
      <c r="T1179" s="13" t="str">
        <f t="shared" si="2"/>
        <v>ПУ 910-00120.D - Печатный узел модуля 2CAN+LIN</v>
      </c>
      <c r="U1179" s="8">
        <v>0.0</v>
      </c>
      <c r="V1179" s="8">
        <v>0.0</v>
      </c>
      <c r="X1179" s="14" t="str">
        <f t="shared" si="123"/>
        <v>Данные не заполены</v>
      </c>
      <c r="Y1179" s="15">
        <f t="shared" si="124"/>
        <v>0</v>
      </c>
    </row>
    <row r="1180" hidden="1">
      <c r="A1180" s="7">
        <v>44126.322014097226</v>
      </c>
      <c r="B1180" s="8" t="s">
        <v>94</v>
      </c>
      <c r="C1180" s="8">
        <v>20985.0</v>
      </c>
      <c r="D1180" s="8" t="s">
        <v>27</v>
      </c>
      <c r="E1180" s="8" t="s">
        <v>68</v>
      </c>
      <c r="L1180" s="8" t="s">
        <v>31</v>
      </c>
      <c r="M1180" s="8" t="s">
        <v>34</v>
      </c>
      <c r="P1180" s="9">
        <v>44125.0</v>
      </c>
      <c r="Q1180" s="10">
        <v>0.020833333335758653</v>
      </c>
      <c r="R1180" s="11" t="str">
        <f t="shared" si="1"/>
        <v>Прохождение обучения</v>
      </c>
      <c r="S1180" s="16" t="str">
        <f>iferror(VLOOKUP(C1180,'ФИО'!A:B,2,0),"учётный код не найден")</f>
        <v>Никонорова Наталия Владимировна</v>
      </c>
      <c r="T1180" s="13" t="str">
        <f t="shared" si="2"/>
        <v/>
      </c>
      <c r="W1180" s="17" t="str">
        <f t="shared" ref="W1180:W1185" si="128">IFERROR((((38412/(ifs(O1180&lt;35,35,O1180&gt;34,O1180)/N1180)*0.7))),"Данные не заполены")</f>
        <v>Данные не заполены</v>
      </c>
      <c r="X1180" s="14" t="str">
        <f t="shared" si="123"/>
        <v>Данные не заполены</v>
      </c>
      <c r="Y1180" s="15">
        <f t="shared" si="124"/>
        <v>0</v>
      </c>
    </row>
    <row r="1181" hidden="1">
      <c r="A1181" s="7">
        <v>44126.32452648148</v>
      </c>
      <c r="B1181" s="8" t="s">
        <v>94</v>
      </c>
      <c r="C1181" s="8">
        <v>21928.0</v>
      </c>
      <c r="D1181" s="8" t="s">
        <v>27</v>
      </c>
      <c r="E1181" s="8" t="s">
        <v>68</v>
      </c>
      <c r="L1181" s="8" t="s">
        <v>31</v>
      </c>
      <c r="M1181" s="8" t="s">
        <v>34</v>
      </c>
      <c r="P1181" s="9">
        <v>44125.0</v>
      </c>
      <c r="Q1181" s="10">
        <v>0.020833333335758653</v>
      </c>
      <c r="R1181" s="11" t="str">
        <f t="shared" si="1"/>
        <v>Прохождение обучения</v>
      </c>
      <c r="S1181" s="16" t="str">
        <f>iferror(VLOOKUP(C1181,'ФИО'!A:B,2,0),"учётный код не найден")</f>
        <v>Савченко Виктория Андреевна</v>
      </c>
      <c r="T1181" s="13" t="str">
        <f t="shared" si="2"/>
        <v/>
      </c>
      <c r="W1181" s="17" t="str">
        <f t="shared" si="128"/>
        <v>Данные не заполены</v>
      </c>
      <c r="X1181" s="14" t="str">
        <f t="shared" si="123"/>
        <v>Данные не заполены</v>
      </c>
      <c r="Y1181" s="15">
        <f t="shared" si="124"/>
        <v>0</v>
      </c>
    </row>
    <row r="1182" hidden="1">
      <c r="A1182" s="7">
        <v>44127.31548222222</v>
      </c>
      <c r="B1182" s="8" t="s">
        <v>94</v>
      </c>
      <c r="C1182" s="8">
        <v>60000.0</v>
      </c>
      <c r="D1182" s="8" t="s">
        <v>69</v>
      </c>
      <c r="F1182" s="8" t="s">
        <v>72</v>
      </c>
      <c r="G1182" s="8">
        <v>3252.0</v>
      </c>
      <c r="H1182" s="8" t="s">
        <v>29</v>
      </c>
      <c r="I1182" s="8" t="s">
        <v>96</v>
      </c>
      <c r="L1182" s="8" t="s">
        <v>37</v>
      </c>
      <c r="P1182" s="9">
        <v>44126.0</v>
      </c>
      <c r="Q1182" s="10">
        <v>0.0625</v>
      </c>
      <c r="R1182" s="11" t="str">
        <f t="shared" si="1"/>
        <v>Пайка компонентов PRI</v>
      </c>
      <c r="S1182" s="12" t="str">
        <f>iferror(VLOOKUP(C1182,'ФИО'!A:B,2,0),"учётный код не найден")</f>
        <v>THT</v>
      </c>
      <c r="T1182" s="13" t="str">
        <f t="shared" si="2"/>
        <v>915-00096.A - ПКД-8В-2 АСЛБ.467249.109</v>
      </c>
      <c r="U1182" s="8">
        <v>34.0</v>
      </c>
      <c r="V1182" s="8">
        <v>0.0</v>
      </c>
      <c r="W1182" s="17" t="str">
        <f t="shared" si="128"/>
        <v>Данные не заполены</v>
      </c>
      <c r="X1182" s="14" t="str">
        <f t="shared" si="123"/>
        <v>Данные не заполены</v>
      </c>
      <c r="Y1182" s="15">
        <f t="shared" si="124"/>
        <v>0</v>
      </c>
    </row>
    <row r="1183" hidden="1">
      <c r="A1183" s="7">
        <v>44126.82602613426</v>
      </c>
      <c r="B1183" s="8" t="s">
        <v>89</v>
      </c>
      <c r="C1183" s="8">
        <v>21504.0</v>
      </c>
      <c r="D1183" s="8" t="s">
        <v>27</v>
      </c>
      <c r="E1183" s="8" t="s">
        <v>68</v>
      </c>
      <c r="L1183" s="8" t="s">
        <v>31</v>
      </c>
      <c r="M1183" s="8" t="s">
        <v>34</v>
      </c>
      <c r="P1183" s="9">
        <v>44126.0</v>
      </c>
      <c r="Q1183" s="10">
        <v>0.020833333335758653</v>
      </c>
      <c r="R1183" s="11" t="str">
        <f t="shared" si="1"/>
        <v>Прохождение обучения</v>
      </c>
      <c r="S1183" s="16" t="str">
        <f>iferror(VLOOKUP(C1183,'ФИО'!A:B,2,0),"учётный код не найден")</f>
        <v>Александрова Елена Сергеевна</v>
      </c>
      <c r="T1183" s="13" t="str">
        <f t="shared" si="2"/>
        <v/>
      </c>
      <c r="W1183" s="17" t="str">
        <f t="shared" si="128"/>
        <v>Данные не заполены</v>
      </c>
      <c r="X1183" s="14" t="str">
        <f t="shared" si="123"/>
        <v>Данные не заполены</v>
      </c>
      <c r="Y1183" s="15">
        <f t="shared" si="124"/>
        <v>0</v>
      </c>
    </row>
    <row r="1184" hidden="1">
      <c r="A1184" s="7">
        <v>44127.82556229166</v>
      </c>
      <c r="B1184" s="8" t="s">
        <v>89</v>
      </c>
      <c r="C1184" s="8">
        <v>50000.0</v>
      </c>
      <c r="D1184" s="8" t="s">
        <v>27</v>
      </c>
      <c r="E1184" s="8" t="s">
        <v>67</v>
      </c>
      <c r="G1184" s="8">
        <v>3621.0</v>
      </c>
      <c r="H1184" s="8" t="s">
        <v>29</v>
      </c>
      <c r="I1184" s="8" t="s">
        <v>30</v>
      </c>
      <c r="L1184" s="8" t="s">
        <v>37</v>
      </c>
      <c r="P1184" s="9">
        <v>44127.0</v>
      </c>
      <c r="Q1184" s="10">
        <v>0.08333333333575865</v>
      </c>
      <c r="R1184" s="11" t="str">
        <f t="shared" si="1"/>
        <v>Сборка на линии Prim</v>
      </c>
      <c r="S1184" s="16" t="str">
        <f>iferror(VLOOKUP(C1184,'ФИО'!A:B,2,0),"учётный код не найден")</f>
        <v>SMT</v>
      </c>
      <c r="T1184" s="13" t="str">
        <f t="shared" si="2"/>
        <v>915-00121.A - Процессорный модуль РСЕН.469555.027 (КНС Групп) в ТС</v>
      </c>
      <c r="U1184" s="8">
        <v>2.0</v>
      </c>
      <c r="V1184" s="8">
        <v>0.0</v>
      </c>
      <c r="W1184" s="17" t="str">
        <f t="shared" si="128"/>
        <v>Данные не заполены</v>
      </c>
      <c r="X1184" s="14" t="str">
        <f t="shared" si="123"/>
        <v>Данные не заполены</v>
      </c>
      <c r="Y1184" s="15">
        <f t="shared" si="124"/>
        <v>0</v>
      </c>
    </row>
    <row r="1185" hidden="1">
      <c r="A1185" s="7">
        <v>44127.823885868056</v>
      </c>
      <c r="B1185" s="8" t="s">
        <v>89</v>
      </c>
      <c r="C1185" s="8">
        <v>22011.0</v>
      </c>
      <c r="D1185" s="8" t="s">
        <v>27</v>
      </c>
      <c r="E1185" s="8" t="s">
        <v>65</v>
      </c>
      <c r="G1185" s="8">
        <v>3621.0</v>
      </c>
      <c r="H1185" s="8" t="s">
        <v>29</v>
      </c>
      <c r="I1185" s="8" t="s">
        <v>54</v>
      </c>
      <c r="L1185" s="8" t="s">
        <v>31</v>
      </c>
      <c r="M1185" s="8" t="s">
        <v>34</v>
      </c>
      <c r="P1185" s="9">
        <v>44127.0</v>
      </c>
      <c r="Q1185" s="10">
        <v>0.16666666666424135</v>
      </c>
      <c r="R1185" s="11" t="str">
        <f t="shared" si="1"/>
        <v>Проверка комплектации</v>
      </c>
      <c r="S1185" s="16" t="str">
        <f>iferror(VLOOKUP(C1185,'ФИО'!A:B,2,0),"учётный код не найден")</f>
        <v>Сергеев Алексей Андреевич</v>
      </c>
      <c r="T1185" s="13" t="str">
        <f t="shared" si="2"/>
        <v>915-00121.A - Процессорный модуль РСЕН.469555.027 (КНС Групп)</v>
      </c>
      <c r="U1185" s="8">
        <v>0.0</v>
      </c>
      <c r="V1185" s="8">
        <v>0.0</v>
      </c>
      <c r="W1185" s="17" t="str">
        <f t="shared" si="128"/>
        <v>Данные не заполены</v>
      </c>
      <c r="X1185" s="14" t="str">
        <f t="shared" si="123"/>
        <v>Данные не заполены</v>
      </c>
      <c r="Y1185" s="15">
        <f t="shared" si="124"/>
        <v>0</v>
      </c>
    </row>
    <row r="1186" hidden="1">
      <c r="A1186" s="7">
        <v>44127.82434574074</v>
      </c>
      <c r="B1186" s="8" t="s">
        <v>89</v>
      </c>
      <c r="C1186" s="8">
        <v>22011.0</v>
      </c>
      <c r="D1186" s="8" t="s">
        <v>27</v>
      </c>
      <c r="E1186" s="8" t="s">
        <v>39</v>
      </c>
      <c r="G1186" s="8">
        <v>3621.0</v>
      </c>
      <c r="H1186" s="8" t="s">
        <v>29</v>
      </c>
      <c r="I1186" s="8" t="s">
        <v>54</v>
      </c>
      <c r="L1186" s="8" t="s">
        <v>31</v>
      </c>
      <c r="M1186" s="8" t="s">
        <v>34</v>
      </c>
      <c r="P1186" s="9">
        <v>44127.0</v>
      </c>
      <c r="Q1186" s="10">
        <v>0.125</v>
      </c>
      <c r="R1186" s="11" t="str">
        <f t="shared" si="1"/>
        <v>Зарядка питателей Prim</v>
      </c>
      <c r="S1186" s="16" t="str">
        <f>iferror(VLOOKUP(C1186,'ФИО'!A:B,2,0),"учётный код не найден")</f>
        <v>Сергеев Алексей Андреевич</v>
      </c>
      <c r="T1186" s="13" t="str">
        <f t="shared" si="2"/>
        <v>915-00121.A - Процессорный модуль РСЕН.469555.027 (КНС Групп)</v>
      </c>
      <c r="U1186" s="8">
        <v>47.0</v>
      </c>
      <c r="V1186" s="8">
        <v>0.0</v>
      </c>
      <c r="W1186" s="17">
        <v>660.0</v>
      </c>
      <c r="X1186" s="14">
        <f t="shared" si="123"/>
        <v>0.2611111111</v>
      </c>
      <c r="Y1186" s="15">
        <f t="shared" si="124"/>
        <v>0</v>
      </c>
      <c r="Z1186" s="8" t="s">
        <v>162</v>
      </c>
    </row>
    <row r="1187" hidden="1">
      <c r="A1187" s="7">
        <v>44127.824835810185</v>
      </c>
      <c r="B1187" s="8" t="s">
        <v>89</v>
      </c>
      <c r="C1187" s="8">
        <v>22011.0</v>
      </c>
      <c r="D1187" s="8" t="s">
        <v>27</v>
      </c>
      <c r="E1187" s="8" t="s">
        <v>67</v>
      </c>
      <c r="G1187" s="8">
        <v>3621.0</v>
      </c>
      <c r="H1187" s="8" t="s">
        <v>29</v>
      </c>
      <c r="I1187" s="8" t="s">
        <v>54</v>
      </c>
      <c r="L1187" s="8" t="s">
        <v>37</v>
      </c>
      <c r="P1187" s="9">
        <v>44127.0</v>
      </c>
      <c r="Q1187" s="10">
        <v>0.16666666666424135</v>
      </c>
      <c r="R1187" s="11" t="str">
        <f t="shared" si="1"/>
        <v>Сборка на линии Prim</v>
      </c>
      <c r="S1187" s="16" t="str">
        <f>iferror(VLOOKUP(C1187,'ФИО'!A:B,2,0),"учётный код не найден")</f>
        <v>Сергеев Алексей Андреевич</v>
      </c>
      <c r="T1187" s="13" t="str">
        <f t="shared" si="2"/>
        <v>915-00121.A - Процессорный модуль РСЕН.469555.027 (КНС Групп)</v>
      </c>
      <c r="U1187" s="8">
        <v>0.0</v>
      </c>
      <c r="V1187" s="8">
        <v>0.0</v>
      </c>
      <c r="W1187" s="17" t="str">
        <f t="shared" ref="W1187:W1191" si="129">IFERROR((((38412/(ifs(O1187&lt;35,35,O1187&gt;34,O1187)/N1187)*0.7))),"Данные не заполены")</f>
        <v>Данные не заполены</v>
      </c>
      <c r="X1187" s="14" t="str">
        <f t="shared" si="123"/>
        <v>Данные не заполены</v>
      </c>
      <c r="Y1187" s="15">
        <f t="shared" si="124"/>
        <v>0</v>
      </c>
    </row>
    <row r="1188" hidden="1">
      <c r="A1188" s="7">
        <v>44127.820687280095</v>
      </c>
      <c r="B1188" s="8" t="s">
        <v>89</v>
      </c>
      <c r="C1188" s="8">
        <v>21852.0</v>
      </c>
      <c r="D1188" s="8" t="s">
        <v>69</v>
      </c>
      <c r="F1188" s="8" t="s">
        <v>104</v>
      </c>
      <c r="L1188" s="8" t="s">
        <v>31</v>
      </c>
      <c r="M1188" s="8" t="s">
        <v>34</v>
      </c>
      <c r="P1188" s="9">
        <v>44127.0</v>
      </c>
      <c r="Q1188" s="10">
        <v>0.16666666666424135</v>
      </c>
      <c r="R1188" s="11" t="str">
        <f t="shared" si="1"/>
        <v>Обучение</v>
      </c>
      <c r="S1188" s="16" t="str">
        <f>iferror(VLOOKUP(C1188,'ФИО'!A:B,2,0),"учётный код не найден")</f>
        <v>Пономарев Юрий Андреевич</v>
      </c>
      <c r="T1188" s="13" t="str">
        <f t="shared" si="2"/>
        <v/>
      </c>
      <c r="W1188" s="17" t="str">
        <f t="shared" si="129"/>
        <v>Данные не заполены</v>
      </c>
      <c r="X1188" s="14" t="str">
        <f t="shared" si="123"/>
        <v>Данные не заполены</v>
      </c>
      <c r="Y1188" s="15">
        <f t="shared" si="124"/>
        <v>0</v>
      </c>
    </row>
    <row r="1189" hidden="1">
      <c r="A1189" s="7">
        <v>44127.82010527777</v>
      </c>
      <c r="B1189" s="8" t="s">
        <v>89</v>
      </c>
      <c r="C1189" s="8">
        <v>50000.0</v>
      </c>
      <c r="D1189" s="8" t="s">
        <v>27</v>
      </c>
      <c r="E1189" s="8" t="s">
        <v>88</v>
      </c>
      <c r="G1189" s="8">
        <v>3804.0</v>
      </c>
      <c r="H1189" s="8" t="s">
        <v>45</v>
      </c>
      <c r="K1189" s="8" t="s">
        <v>52</v>
      </c>
      <c r="L1189" s="8" t="s">
        <v>37</v>
      </c>
      <c r="N1189" s="8">
        <v>10.0</v>
      </c>
      <c r="O1189" s="8">
        <v>38.0</v>
      </c>
      <c r="P1189" s="9">
        <v>44127.0</v>
      </c>
      <c r="Q1189" s="10">
        <v>0.020833333335758653</v>
      </c>
      <c r="R1189" s="11" t="str">
        <f t="shared" si="1"/>
        <v>Сборка на линии Sec</v>
      </c>
      <c r="S1189" s="16" t="str">
        <f>iferror(VLOOKUP(C1189,'ФИО'!A:B,2,0),"учётный код не найден")</f>
        <v>SMT</v>
      </c>
      <c r="T1189" s="13" t="str">
        <f t="shared" si="2"/>
        <v>М17V2 (900-00018.D)_910-00023.H и ПУ 910-00012.I</v>
      </c>
      <c r="U1189" s="8">
        <v>110.0</v>
      </c>
      <c r="V1189" s="8">
        <v>0.0</v>
      </c>
      <c r="W1189" s="17">
        <f t="shared" si="129"/>
        <v>7075.894737</v>
      </c>
      <c r="X1189" s="14">
        <f t="shared" si="123"/>
        <v>0.3420062183</v>
      </c>
      <c r="Y1189" s="15">
        <f t="shared" si="124"/>
        <v>0</v>
      </c>
      <c r="Z1189" s="8" t="s">
        <v>278</v>
      </c>
    </row>
    <row r="1190" hidden="1">
      <c r="A1190" s="7">
        <v>44127.82230474537</v>
      </c>
      <c r="B1190" s="8" t="s">
        <v>89</v>
      </c>
      <c r="C1190" s="8">
        <v>21852.0</v>
      </c>
      <c r="D1190" s="8" t="s">
        <v>27</v>
      </c>
      <c r="E1190" s="8" t="s">
        <v>85</v>
      </c>
      <c r="G1190" s="8">
        <v>3804.0</v>
      </c>
      <c r="H1190" s="8" t="s">
        <v>45</v>
      </c>
      <c r="K1190" s="8" t="s">
        <v>52</v>
      </c>
      <c r="L1190" s="8" t="s">
        <v>31</v>
      </c>
      <c r="M1190" s="8" t="s">
        <v>34</v>
      </c>
      <c r="P1190" s="9">
        <v>44127.0</v>
      </c>
      <c r="Q1190" s="10">
        <v>0.013888888890505768</v>
      </c>
      <c r="R1190" s="11" t="str">
        <f t="shared" si="1"/>
        <v>Очистка трафаретного принтера</v>
      </c>
      <c r="S1190" s="16" t="str">
        <f>iferror(VLOOKUP(C1190,'ФИО'!A:B,2,0),"учётный код не найден")</f>
        <v>Пономарев Юрий Андреевич</v>
      </c>
      <c r="T1190" s="13" t="str">
        <f t="shared" si="2"/>
        <v>М17V2 (900-00018.D)_910-00023.H и ПУ 910-00012.I</v>
      </c>
      <c r="U1190" s="8">
        <v>1.0</v>
      </c>
      <c r="V1190" s="8">
        <v>0.0</v>
      </c>
      <c r="W1190" s="17" t="str">
        <f t="shared" si="129"/>
        <v>Данные не заполены</v>
      </c>
      <c r="X1190" s="14" t="str">
        <f t="shared" si="123"/>
        <v>Данные не заполены</v>
      </c>
      <c r="Y1190" s="15">
        <f t="shared" si="124"/>
        <v>0</v>
      </c>
    </row>
    <row r="1191" hidden="1">
      <c r="A1191" s="7">
        <v>44127.82280765046</v>
      </c>
      <c r="B1191" s="8" t="s">
        <v>89</v>
      </c>
      <c r="C1191" s="8">
        <v>21852.0</v>
      </c>
      <c r="D1191" s="8" t="s">
        <v>27</v>
      </c>
      <c r="E1191" s="8" t="s">
        <v>67</v>
      </c>
      <c r="G1191" s="8">
        <v>3621.0</v>
      </c>
      <c r="H1191" s="8" t="s">
        <v>29</v>
      </c>
      <c r="I1191" s="8" t="s">
        <v>54</v>
      </c>
      <c r="L1191" s="8" t="s">
        <v>37</v>
      </c>
      <c r="P1191" s="9">
        <v>44127.0</v>
      </c>
      <c r="Q1191" s="10">
        <v>0.04166666666424135</v>
      </c>
      <c r="R1191" s="11" t="str">
        <f t="shared" si="1"/>
        <v>Сборка на линии Prim</v>
      </c>
      <c r="S1191" s="16" t="str">
        <f>iferror(VLOOKUP(C1191,'ФИО'!A:B,2,0),"учётный код не найден")</f>
        <v>Пономарев Юрий Андреевич</v>
      </c>
      <c r="T1191" s="13" t="str">
        <f t="shared" si="2"/>
        <v>915-00121.A - Процессорный модуль РСЕН.469555.027 (КНС Групп)</v>
      </c>
      <c r="U1191" s="8">
        <v>0.0</v>
      </c>
      <c r="V1191" s="8">
        <v>0.0</v>
      </c>
      <c r="W1191" s="17" t="str">
        <f t="shared" si="129"/>
        <v>Данные не заполены</v>
      </c>
      <c r="X1191" s="14" t="str">
        <f t="shared" si="123"/>
        <v>Данные не заполены</v>
      </c>
      <c r="Y1191" s="15">
        <f t="shared" si="124"/>
        <v>0</v>
      </c>
    </row>
    <row r="1192" hidden="1">
      <c r="A1192" s="7">
        <v>44127.82394290509</v>
      </c>
      <c r="B1192" s="8" t="s">
        <v>89</v>
      </c>
      <c r="C1192" s="8">
        <v>21852.0</v>
      </c>
      <c r="D1192" s="8" t="s">
        <v>27</v>
      </c>
      <c r="E1192" s="8" t="s">
        <v>39</v>
      </c>
      <c r="G1192" s="8">
        <v>3621.0</v>
      </c>
      <c r="H1192" s="8" t="s">
        <v>29</v>
      </c>
      <c r="I1192" s="8" t="s">
        <v>54</v>
      </c>
      <c r="L1192" s="8" t="s">
        <v>31</v>
      </c>
      <c r="M1192" s="8" t="s">
        <v>34</v>
      </c>
      <c r="P1192" s="9">
        <v>44127.0</v>
      </c>
      <c r="Q1192" s="10">
        <v>0.08333333333575865</v>
      </c>
      <c r="R1192" s="11" t="str">
        <f t="shared" si="1"/>
        <v>Зарядка питателей Prim</v>
      </c>
      <c r="S1192" s="16" t="str">
        <f>iferror(VLOOKUP(C1192,'ФИО'!A:B,2,0),"учётный код не найден")</f>
        <v>Пономарев Юрий Андреевич</v>
      </c>
      <c r="T1192" s="13" t="str">
        <f t="shared" si="2"/>
        <v>915-00121.A - Процессорный модуль РСЕН.469555.027 (КНС Групп)</v>
      </c>
      <c r="U1192" s="8">
        <v>32.0</v>
      </c>
      <c r="V1192" s="8">
        <v>0.0</v>
      </c>
      <c r="W1192" s="17">
        <v>660.0</v>
      </c>
      <c r="X1192" s="14">
        <f t="shared" si="123"/>
        <v>0.2666666667</v>
      </c>
      <c r="Y1192" s="15">
        <f t="shared" si="124"/>
        <v>0</v>
      </c>
      <c r="Z1192" s="8" t="s">
        <v>162</v>
      </c>
    </row>
    <row r="1193" hidden="1">
      <c r="A1193" s="7">
        <v>44127.80659922454</v>
      </c>
      <c r="B1193" s="8" t="s">
        <v>89</v>
      </c>
      <c r="C1193" s="8">
        <v>20015.0</v>
      </c>
      <c r="D1193" s="8" t="s">
        <v>69</v>
      </c>
      <c r="F1193" s="8" t="s">
        <v>104</v>
      </c>
      <c r="L1193" s="8" t="s">
        <v>31</v>
      </c>
      <c r="M1193" s="8" t="s">
        <v>34</v>
      </c>
      <c r="P1193" s="9">
        <v>44127.0</v>
      </c>
      <c r="Q1193" s="10">
        <v>0.16666666666424135</v>
      </c>
      <c r="R1193" s="11" t="str">
        <f t="shared" si="1"/>
        <v>Обучение</v>
      </c>
      <c r="S1193" s="16" t="str">
        <f>iferror(VLOOKUP(C1193,'ФИО'!A:B,2,0),"учётный код не найден")</f>
        <v>Ельцов Андрей Николаевич</v>
      </c>
      <c r="T1193" s="13" t="str">
        <f t="shared" si="2"/>
        <v/>
      </c>
      <c r="W1193" s="17" t="str">
        <f>IFERROR((((38412/(ifs(O1193&lt;35,35,O1193&gt;34,O1193)/N1193)*0.7))),"Данные не заполены")</f>
        <v>Данные не заполены</v>
      </c>
      <c r="X1193" s="14" t="str">
        <f t="shared" si="123"/>
        <v>Данные не заполены</v>
      </c>
      <c r="Y1193" s="15">
        <f t="shared" si="124"/>
        <v>0</v>
      </c>
    </row>
    <row r="1194" hidden="1">
      <c r="A1194" s="7">
        <v>44128.784868194445</v>
      </c>
      <c r="B1194" s="8" t="s">
        <v>26</v>
      </c>
      <c r="C1194" s="8">
        <v>20015.0</v>
      </c>
      <c r="D1194" s="8" t="s">
        <v>69</v>
      </c>
      <c r="F1194" s="8" t="s">
        <v>104</v>
      </c>
      <c r="L1194" s="8" t="s">
        <v>31</v>
      </c>
      <c r="M1194" s="8" t="s">
        <v>34</v>
      </c>
      <c r="P1194" s="9">
        <v>44128.0</v>
      </c>
      <c r="Q1194" s="10">
        <v>0.33333333333575865</v>
      </c>
      <c r="R1194" s="11" t="str">
        <f t="shared" si="1"/>
        <v>Обучение</v>
      </c>
      <c r="S1194" s="16" t="str">
        <f>iferror(VLOOKUP(C1194,'ФИО'!A:B,2,0),"учётный код не найден")</f>
        <v>Ельцов Андрей Николаевич</v>
      </c>
      <c r="T1194" s="13" t="str">
        <f t="shared" si="2"/>
        <v/>
      </c>
      <c r="X1194" s="14" t="str">
        <f t="shared" si="123"/>
        <v>Данные не заполены</v>
      </c>
      <c r="Y1194" s="15">
        <f t="shared" si="124"/>
        <v>0</v>
      </c>
    </row>
    <row r="1195" hidden="1">
      <c r="A1195" s="7">
        <v>44135.8261855787</v>
      </c>
      <c r="B1195" s="8" t="s">
        <v>89</v>
      </c>
      <c r="C1195" s="8">
        <v>20015.0</v>
      </c>
      <c r="D1195" s="8" t="s">
        <v>69</v>
      </c>
      <c r="F1195" s="8" t="s">
        <v>104</v>
      </c>
      <c r="L1195" s="8" t="s">
        <v>31</v>
      </c>
      <c r="M1195" s="8" t="s">
        <v>34</v>
      </c>
      <c r="P1195" s="9">
        <v>44135.0</v>
      </c>
      <c r="Q1195" s="10">
        <v>0.3125</v>
      </c>
      <c r="R1195" s="11" t="str">
        <f t="shared" si="1"/>
        <v>Обучение</v>
      </c>
      <c r="S1195" s="16" t="str">
        <f>iferror(VLOOKUP(C1195,'ФИО'!A:B,2,0),"учётный код не найден")</f>
        <v>Ельцов Андрей Николаевич</v>
      </c>
      <c r="T1195" s="13" t="str">
        <f t="shared" si="2"/>
        <v/>
      </c>
      <c r="W1195" s="17" t="str">
        <f t="shared" ref="W1195:W1203" si="130">IFERROR((((38412/(ifs(O1195&lt;35,35,O1195&gt;34,O1195)/N1195)*0.7))),"Данные не заполены")</f>
        <v>Данные не заполены</v>
      </c>
      <c r="X1195" s="14" t="str">
        <f t="shared" si="123"/>
        <v>Данные не заполены</v>
      </c>
      <c r="Y1195" s="15">
        <f t="shared" si="124"/>
        <v>0</v>
      </c>
    </row>
    <row r="1196">
      <c r="A1196" s="7">
        <v>44119.80195175926</v>
      </c>
      <c r="B1196" s="8" t="s">
        <v>89</v>
      </c>
      <c r="C1196" s="8">
        <v>20015.0</v>
      </c>
      <c r="D1196" s="8" t="s">
        <v>69</v>
      </c>
      <c r="F1196" s="8" t="s">
        <v>72</v>
      </c>
      <c r="G1196" s="8">
        <v>3750.0</v>
      </c>
      <c r="H1196" s="8" t="s">
        <v>45</v>
      </c>
      <c r="K1196" s="8" t="s">
        <v>46</v>
      </c>
      <c r="L1196" s="8" t="s">
        <v>31</v>
      </c>
      <c r="M1196" s="8" t="s">
        <v>34</v>
      </c>
      <c r="P1196" s="9">
        <v>44119.0</v>
      </c>
      <c r="Q1196" s="10">
        <v>0.020833333335758653</v>
      </c>
      <c r="R1196" s="11" t="str">
        <f t="shared" si="1"/>
        <v>Пайка компонентов PRI</v>
      </c>
      <c r="S1196" s="16" t="str">
        <f>iferror(VLOOKUP(C1196,'ФИО'!A:B,2,0),"учётный код не найден")</f>
        <v>Ельцов Андрей Николаевич</v>
      </c>
      <c r="T1196" s="13" t="str">
        <f t="shared" si="2"/>
        <v>ПУ 910-00349.A "Печатный узел основного блока E96 4LIN"</v>
      </c>
      <c r="U1196" s="8">
        <v>0.0</v>
      </c>
      <c r="V1196" s="8">
        <v>0.0</v>
      </c>
      <c r="W1196" s="17" t="str">
        <f t="shared" si="130"/>
        <v>Данные не заполены</v>
      </c>
      <c r="X1196" s="14" t="str">
        <f t="shared" si="123"/>
        <v>Данные не заполены</v>
      </c>
      <c r="Y1196" s="15">
        <f t="shared" si="124"/>
        <v>0</v>
      </c>
    </row>
    <row r="1197" hidden="1">
      <c r="A1197" s="7">
        <v>44120.80741304398</v>
      </c>
      <c r="B1197" s="8" t="s">
        <v>26</v>
      </c>
      <c r="C1197" s="8">
        <v>20015.0</v>
      </c>
      <c r="D1197" s="8" t="s">
        <v>69</v>
      </c>
      <c r="F1197" s="8" t="s">
        <v>72</v>
      </c>
      <c r="G1197" s="8">
        <v>3579.0</v>
      </c>
      <c r="H1197" s="8" t="s">
        <v>29</v>
      </c>
      <c r="I1197" s="8" t="s">
        <v>42</v>
      </c>
      <c r="L1197" s="8" t="s">
        <v>37</v>
      </c>
      <c r="P1197" s="9">
        <v>44120.0</v>
      </c>
      <c r="Q1197" s="10">
        <v>0.10416666666424135</v>
      </c>
      <c r="R1197" s="11" t="str">
        <f t="shared" si="1"/>
        <v>Пайка компонентов PRI</v>
      </c>
      <c r="S1197" s="16" t="str">
        <f>iferror(VLOOKUP(C1197,'ФИО'!A:B,2,0),"учётный код не найден")</f>
        <v>Ельцов Андрей Николаевич</v>
      </c>
      <c r="T1197" s="13" t="str">
        <f t="shared" si="2"/>
        <v>915-00070.A - Модуль телематики ТМ1 v3 (Сознательные машины)</v>
      </c>
      <c r="U1197" s="8">
        <v>0.0</v>
      </c>
      <c r="V1197" s="8">
        <v>0.0</v>
      </c>
      <c r="W1197" s="17" t="str">
        <f t="shared" si="130"/>
        <v>Данные не заполены</v>
      </c>
      <c r="X1197" s="14" t="str">
        <f t="shared" si="123"/>
        <v>Данные не заполены</v>
      </c>
      <c r="Y1197" s="15">
        <f t="shared" si="124"/>
        <v>0</v>
      </c>
    </row>
    <row r="1198" hidden="1">
      <c r="A1198" s="7">
        <v>44133.83743945602</v>
      </c>
      <c r="B1198" s="8" t="s">
        <v>127</v>
      </c>
      <c r="C1198" s="8">
        <v>21171.0</v>
      </c>
      <c r="D1198" s="8" t="s">
        <v>27</v>
      </c>
      <c r="E1198" s="8" t="s">
        <v>100</v>
      </c>
      <c r="G1198" s="8">
        <v>3802.0</v>
      </c>
      <c r="H1198" s="8" t="s">
        <v>45</v>
      </c>
      <c r="K1198" s="8" t="s">
        <v>120</v>
      </c>
      <c r="L1198" s="8" t="s">
        <v>37</v>
      </c>
      <c r="P1198" s="9">
        <v>44133.0</v>
      </c>
      <c r="Q1198" s="10">
        <v>0.006944444445252884</v>
      </c>
      <c r="R1198" s="11" t="str">
        <f t="shared" si="1"/>
        <v>Проверка плат на АОИ Sec</v>
      </c>
      <c r="S1198" s="16" t="str">
        <f>iferror(VLOOKUP(C1198,'ФИО'!A:B,2,0),"учётный код не найден")</f>
        <v>Муртищева Ольга Валентиновна</v>
      </c>
      <c r="T1198" s="11" t="str">
        <f t="shared" si="2"/>
        <v>М15ECO (900-00030.С) 910-00034.C/910-00041.C</v>
      </c>
      <c r="U1198" s="8">
        <v>13.0</v>
      </c>
      <c r="V1198" s="8">
        <v>27.0</v>
      </c>
      <c r="W1198" s="17" t="str">
        <f t="shared" si="130"/>
        <v>Данные не заполены</v>
      </c>
      <c r="X1198" s="14" t="str">
        <f t="shared" si="123"/>
        <v>Данные не заполены</v>
      </c>
      <c r="Y1198" s="15">
        <f t="shared" si="124"/>
        <v>2.076923077</v>
      </c>
    </row>
    <row r="1199" hidden="1">
      <c r="A1199" s="7">
        <v>44119.81181987269</v>
      </c>
      <c r="B1199" s="8" t="s">
        <v>89</v>
      </c>
      <c r="C1199" s="8">
        <v>20015.0</v>
      </c>
      <c r="D1199" s="8" t="s">
        <v>69</v>
      </c>
      <c r="F1199" s="8" t="s">
        <v>80</v>
      </c>
      <c r="G1199" s="8">
        <v>3234.0</v>
      </c>
      <c r="H1199" s="8" t="s">
        <v>29</v>
      </c>
      <c r="I1199" s="8" t="s">
        <v>135</v>
      </c>
      <c r="L1199" s="8" t="s">
        <v>31</v>
      </c>
      <c r="M1199" s="8" t="s">
        <v>34</v>
      </c>
      <c r="P1199" s="9">
        <v>44119.0</v>
      </c>
      <c r="Q1199" s="10">
        <v>0.010416666664241347</v>
      </c>
      <c r="R1199" s="11" t="str">
        <f t="shared" si="1"/>
        <v>Пайка компонентов SEC</v>
      </c>
      <c r="S1199" s="16" t="str">
        <f>iferror(VLOOKUP(C1199,'ФИО'!A:B,2,0),"учётный код не найден")</f>
        <v>Ельцов Андрей Николаевич</v>
      </c>
      <c r="T1199" s="13" t="str">
        <f t="shared" si="2"/>
        <v>915-00101.A - ПКД-9В АСЛБ.467249.107 (Квант)</v>
      </c>
      <c r="U1199" s="8">
        <v>0.0</v>
      </c>
      <c r="V1199" s="8">
        <v>0.0</v>
      </c>
      <c r="W1199" s="17" t="str">
        <f t="shared" si="130"/>
        <v>Данные не заполены</v>
      </c>
      <c r="X1199" s="14" t="str">
        <f t="shared" si="123"/>
        <v>Данные не заполены</v>
      </c>
      <c r="Y1199" s="15">
        <f t="shared" si="124"/>
        <v>0</v>
      </c>
    </row>
    <row r="1200" hidden="1">
      <c r="A1200" s="7">
        <v>44119.50909756945</v>
      </c>
      <c r="B1200" s="8" t="s">
        <v>89</v>
      </c>
      <c r="C1200" s="8">
        <v>20015.0</v>
      </c>
      <c r="D1200" s="8" t="s">
        <v>69</v>
      </c>
      <c r="F1200" s="8" t="s">
        <v>103</v>
      </c>
      <c r="G1200" s="8">
        <v>2958.0</v>
      </c>
      <c r="H1200" s="8" t="s">
        <v>29</v>
      </c>
      <c r="I1200" s="8" t="s">
        <v>212</v>
      </c>
      <c r="L1200" s="8" t="s">
        <v>37</v>
      </c>
      <c r="P1200" s="9">
        <v>44119.0</v>
      </c>
      <c r="Q1200" s="10">
        <v>0.010416666664241347</v>
      </c>
      <c r="R1200" s="11" t="str">
        <f t="shared" si="1"/>
        <v>Проверка на АОИ PRI</v>
      </c>
      <c r="S1200" s="16" t="str">
        <f>iferror(VLOOKUP(C1200,'ФИО'!A:B,2,0),"учётный код не найден")</f>
        <v>Ельцов Андрей Николаевич</v>
      </c>
      <c r="T1200" s="13" t="str">
        <f t="shared" si="2"/>
        <v>КТ-500 (Производственный Альянс)</v>
      </c>
      <c r="U1200" s="8">
        <v>16.0</v>
      </c>
      <c r="V1200" s="8">
        <v>8.0</v>
      </c>
      <c r="W1200" s="17" t="str">
        <f t="shared" si="130"/>
        <v>Данные не заполены</v>
      </c>
      <c r="X1200" s="14" t="str">
        <f t="shared" si="123"/>
        <v>Данные не заполены</v>
      </c>
      <c r="Y1200" s="15">
        <f t="shared" si="124"/>
        <v>0.5</v>
      </c>
    </row>
    <row r="1201" hidden="1">
      <c r="A1201" s="7">
        <v>44119.527461817124</v>
      </c>
      <c r="B1201" s="8" t="s">
        <v>89</v>
      </c>
      <c r="C1201" s="8">
        <v>20015.0</v>
      </c>
      <c r="D1201" s="8" t="s">
        <v>69</v>
      </c>
      <c r="F1201" s="8" t="s">
        <v>103</v>
      </c>
      <c r="G1201" s="8">
        <v>3750.0</v>
      </c>
      <c r="H1201" s="8" t="s">
        <v>45</v>
      </c>
      <c r="K1201" s="8" t="s">
        <v>46</v>
      </c>
      <c r="L1201" s="8" t="s">
        <v>37</v>
      </c>
      <c r="P1201" s="9">
        <v>44119.0</v>
      </c>
      <c r="Q1201" s="10">
        <v>0.010416666664241347</v>
      </c>
      <c r="R1201" s="11" t="str">
        <f t="shared" si="1"/>
        <v>Проверка на АОИ PRI</v>
      </c>
      <c r="S1201" s="16" t="str">
        <f>iferror(VLOOKUP(C1201,'ФИО'!A:B,2,0),"учётный код не найден")</f>
        <v>Ельцов Андрей Николаевич</v>
      </c>
      <c r="T1201" s="13" t="str">
        <f t="shared" si="2"/>
        <v>ПУ 910-00349.A "Печатный узел основного блока E96 4LIN"</v>
      </c>
      <c r="U1201" s="8">
        <v>32.0</v>
      </c>
      <c r="V1201" s="8">
        <v>0.0</v>
      </c>
      <c r="W1201" s="17" t="str">
        <f t="shared" si="130"/>
        <v>Данные не заполены</v>
      </c>
      <c r="X1201" s="14" t="str">
        <f t="shared" si="123"/>
        <v>Данные не заполены</v>
      </c>
      <c r="Y1201" s="15">
        <f t="shared" si="124"/>
        <v>0</v>
      </c>
    </row>
    <row r="1202" hidden="1">
      <c r="A1202" s="7">
        <v>44119.80238504629</v>
      </c>
      <c r="B1202" s="8" t="s">
        <v>89</v>
      </c>
      <c r="C1202" s="8">
        <v>20015.0</v>
      </c>
      <c r="D1202" s="8" t="s">
        <v>69</v>
      </c>
      <c r="F1202" s="8" t="s">
        <v>103</v>
      </c>
      <c r="G1202" s="8">
        <v>3750.0</v>
      </c>
      <c r="H1202" s="8" t="s">
        <v>45</v>
      </c>
      <c r="K1202" s="8" t="s">
        <v>46</v>
      </c>
      <c r="L1202" s="8" t="s">
        <v>37</v>
      </c>
      <c r="P1202" s="9">
        <v>44119.0</v>
      </c>
      <c r="Q1202" s="10">
        <v>0.020833333335758653</v>
      </c>
      <c r="R1202" s="11" t="str">
        <f t="shared" si="1"/>
        <v>Проверка на АОИ PRI</v>
      </c>
      <c r="S1202" s="16" t="str">
        <f>iferror(VLOOKUP(C1202,'ФИО'!A:B,2,0),"учётный код не найден")</f>
        <v>Ельцов Андрей Николаевич</v>
      </c>
      <c r="T1202" s="13" t="str">
        <f t="shared" si="2"/>
        <v>ПУ 910-00349.A "Печатный узел основного блока E96 4LIN"</v>
      </c>
      <c r="U1202" s="8">
        <v>100.0</v>
      </c>
      <c r="V1202" s="8">
        <v>0.0</v>
      </c>
      <c r="W1202" s="17" t="str">
        <f t="shared" si="130"/>
        <v>Данные не заполены</v>
      </c>
      <c r="X1202" s="14" t="str">
        <f t="shared" si="123"/>
        <v>Данные не заполены</v>
      </c>
      <c r="Y1202" s="15">
        <f t="shared" si="124"/>
        <v>0</v>
      </c>
    </row>
    <row r="1203" hidden="1">
      <c r="A1203" s="7">
        <v>44127.82114219907</v>
      </c>
      <c r="B1203" s="8" t="s">
        <v>89</v>
      </c>
      <c r="C1203" s="8">
        <v>21752.0</v>
      </c>
      <c r="D1203" s="8" t="s">
        <v>27</v>
      </c>
      <c r="E1203" s="8" t="s">
        <v>88</v>
      </c>
      <c r="G1203" s="8">
        <v>3804.0</v>
      </c>
      <c r="H1203" s="8" t="s">
        <v>45</v>
      </c>
      <c r="K1203" s="8" t="s">
        <v>52</v>
      </c>
      <c r="L1203" s="8" t="s">
        <v>37</v>
      </c>
      <c r="P1203" s="9">
        <v>44127.0</v>
      </c>
      <c r="Q1203" s="10">
        <v>0.08333333333575865</v>
      </c>
      <c r="R1203" s="11" t="str">
        <f t="shared" si="1"/>
        <v>Сборка на линии Sec</v>
      </c>
      <c r="S1203" s="16" t="str">
        <f>iferror(VLOOKUP(C1203,'ФИО'!A:B,2,0),"учётный код не найден")</f>
        <v>Егоров Александр Александрович</v>
      </c>
      <c r="T1203" s="13" t="str">
        <f t="shared" si="2"/>
        <v>М17V2 (900-00018.D)_910-00023.H и ПУ 910-00012.I</v>
      </c>
      <c r="U1203" s="8">
        <v>0.0</v>
      </c>
      <c r="V1203" s="8">
        <v>0.0</v>
      </c>
      <c r="W1203" s="17" t="str">
        <f t="shared" si="130"/>
        <v>Данные не заполены</v>
      </c>
      <c r="X1203" s="14" t="str">
        <f t="shared" si="123"/>
        <v>Данные не заполены</v>
      </c>
      <c r="Y1203" s="15">
        <f t="shared" si="124"/>
        <v>0</v>
      </c>
    </row>
    <row r="1204" hidden="1">
      <c r="A1204" s="7">
        <v>44124.32684576389</v>
      </c>
      <c r="B1204" s="8" t="s">
        <v>38</v>
      </c>
      <c r="C1204" s="8">
        <v>21752.0</v>
      </c>
      <c r="D1204" s="8" t="s">
        <v>27</v>
      </c>
      <c r="E1204" s="8" t="s">
        <v>88</v>
      </c>
      <c r="G1204" s="8">
        <v>3754.0</v>
      </c>
      <c r="H1204" s="8" t="s">
        <v>45</v>
      </c>
      <c r="K1204" s="8" t="s">
        <v>124</v>
      </c>
      <c r="L1204" s="8" t="s">
        <v>37</v>
      </c>
      <c r="P1204" s="9">
        <v>44123.0</v>
      </c>
      <c r="Q1204" s="10">
        <v>0.16666666666424135</v>
      </c>
      <c r="R1204" s="11" t="str">
        <f t="shared" si="1"/>
        <v>Сборка на линии Sec</v>
      </c>
      <c r="S1204" s="16" t="str">
        <f>iferror(VLOOKUP(C1204,'ФИО'!A:B,2,0),"учётный код не найден")</f>
        <v>Егоров Александр Александрович</v>
      </c>
      <c r="T1204" s="13" t="str">
        <f t="shared" si="2"/>
        <v>ПУ 910-00120.D - Печатный узел модуля 2CAN+LIN</v>
      </c>
      <c r="U1204" s="8">
        <v>0.0</v>
      </c>
      <c r="V1204" s="8">
        <v>0.0</v>
      </c>
      <c r="X1204" s="14" t="str">
        <f t="shared" si="123"/>
        <v>Данные не заполены</v>
      </c>
      <c r="Y1204" s="15">
        <f t="shared" si="124"/>
        <v>0</v>
      </c>
    </row>
    <row r="1205" hidden="1">
      <c r="A1205" s="7">
        <v>44127.82586611111</v>
      </c>
      <c r="B1205" s="8" t="s">
        <v>89</v>
      </c>
      <c r="C1205" s="8">
        <v>21752.0</v>
      </c>
      <c r="D1205" s="8" t="s">
        <v>27</v>
      </c>
      <c r="E1205" s="8" t="s">
        <v>182</v>
      </c>
      <c r="G1205" s="8">
        <v>3621.0</v>
      </c>
      <c r="H1205" s="8" t="s">
        <v>29</v>
      </c>
      <c r="I1205" s="8" t="s">
        <v>30</v>
      </c>
      <c r="L1205" s="8" t="s">
        <v>31</v>
      </c>
      <c r="M1205" s="8" t="s">
        <v>34</v>
      </c>
      <c r="P1205" s="9">
        <v>44127.0</v>
      </c>
      <c r="Q1205" s="10">
        <v>0.0194444444423425</v>
      </c>
      <c r="R1205" s="11" t="str">
        <f t="shared" si="1"/>
        <v>Подготовка компонентов к зарядке</v>
      </c>
      <c r="S1205" s="16" t="str">
        <f>iferror(VLOOKUP(C1205,'ФИО'!A:B,2,0),"учётный код не найден")</f>
        <v>Егоров Александр Александрович</v>
      </c>
      <c r="T1205" s="13" t="str">
        <f t="shared" si="2"/>
        <v>915-00121.A - Процессорный модуль РСЕН.469555.027 (КНС Групп) в ТС</v>
      </c>
      <c r="U1205" s="8">
        <v>12.0</v>
      </c>
      <c r="V1205" s="8">
        <v>0.0</v>
      </c>
      <c r="W1205" s="17" t="str">
        <f t="shared" ref="W1205:W1244" si="131">IFERROR((((38412/(ifs(O1205&lt;35,35,O1205&gt;34,O1205)/N1205)*0.7))),"Данные не заполены")</f>
        <v>Данные не заполены</v>
      </c>
      <c r="X1205" s="14" t="str">
        <f t="shared" si="123"/>
        <v>Данные не заполены</v>
      </c>
      <c r="Y1205" s="15">
        <f t="shared" si="124"/>
        <v>0</v>
      </c>
    </row>
    <row r="1206" hidden="1">
      <c r="A1206" s="7">
        <v>44127.827670011575</v>
      </c>
      <c r="B1206" s="8" t="s">
        <v>89</v>
      </c>
      <c r="C1206" s="8">
        <v>21752.0</v>
      </c>
      <c r="D1206" s="8" t="s">
        <v>27</v>
      </c>
      <c r="E1206" s="8" t="s">
        <v>67</v>
      </c>
      <c r="G1206" s="8">
        <v>3621.0</v>
      </c>
      <c r="H1206" s="8" t="s">
        <v>29</v>
      </c>
      <c r="I1206" s="8" t="s">
        <v>30</v>
      </c>
      <c r="L1206" s="8" t="s">
        <v>37</v>
      </c>
      <c r="P1206" s="9">
        <v>44127.0</v>
      </c>
      <c r="Q1206" s="10">
        <v>0.33333333333575865</v>
      </c>
      <c r="R1206" s="11" t="str">
        <f t="shared" si="1"/>
        <v>Сборка на линии Prim</v>
      </c>
      <c r="S1206" s="16" t="str">
        <f>iferror(VLOOKUP(C1206,'ФИО'!A:B,2,0),"учётный код не найден")</f>
        <v>Егоров Александр Александрович</v>
      </c>
      <c r="T1206" s="13" t="str">
        <f t="shared" si="2"/>
        <v>915-00121.A - Процессорный модуль РСЕН.469555.027 (КНС Групп) в ТС</v>
      </c>
      <c r="U1206" s="8">
        <v>0.0</v>
      </c>
      <c r="V1206" s="8">
        <v>0.0</v>
      </c>
      <c r="W1206" s="17" t="str">
        <f t="shared" si="131"/>
        <v>Данные не заполены</v>
      </c>
      <c r="X1206" s="14" t="str">
        <f t="shared" si="123"/>
        <v>Данные не заполены</v>
      </c>
      <c r="Y1206" s="15">
        <f t="shared" si="124"/>
        <v>0</v>
      </c>
    </row>
    <row r="1207" hidden="1">
      <c r="A1207" s="7">
        <v>44127.82062658565</v>
      </c>
      <c r="B1207" s="8" t="s">
        <v>89</v>
      </c>
      <c r="C1207" s="8">
        <v>20693.0</v>
      </c>
      <c r="D1207" s="8" t="s">
        <v>27</v>
      </c>
      <c r="E1207" s="8" t="s">
        <v>88</v>
      </c>
      <c r="G1207" s="8">
        <v>3804.0</v>
      </c>
      <c r="H1207" s="8" t="s">
        <v>45</v>
      </c>
      <c r="K1207" s="8" t="s">
        <v>52</v>
      </c>
      <c r="L1207" s="8" t="s">
        <v>37</v>
      </c>
      <c r="P1207" s="9">
        <v>44127.0</v>
      </c>
      <c r="Q1207" s="10">
        <v>0.0625</v>
      </c>
      <c r="R1207" s="11" t="str">
        <f t="shared" si="1"/>
        <v>Сборка на линии Sec</v>
      </c>
      <c r="S1207" s="16" t="str">
        <f>iferror(VLOOKUP(C1207,'ФИО'!A:B,2,0),"учётный код не найден")</f>
        <v>Аникина Раиса Владимировна</v>
      </c>
      <c r="T1207" s="13" t="str">
        <f t="shared" si="2"/>
        <v>М17V2 (900-00018.D)_910-00023.H и ПУ 910-00012.I</v>
      </c>
      <c r="U1207" s="8">
        <v>0.0</v>
      </c>
      <c r="V1207" s="8">
        <v>0.0</v>
      </c>
      <c r="W1207" s="17" t="str">
        <f t="shared" si="131"/>
        <v>Данные не заполены</v>
      </c>
      <c r="X1207" s="14" t="str">
        <f t="shared" si="123"/>
        <v>Данные не заполены</v>
      </c>
      <c r="Y1207" s="15">
        <f t="shared" si="124"/>
        <v>0</v>
      </c>
    </row>
    <row r="1208" hidden="1">
      <c r="A1208" s="7">
        <v>44127.821160312495</v>
      </c>
      <c r="B1208" s="8" t="s">
        <v>89</v>
      </c>
      <c r="C1208" s="8">
        <v>20693.0</v>
      </c>
      <c r="D1208" s="8" t="s">
        <v>27</v>
      </c>
      <c r="E1208" s="8" t="s">
        <v>65</v>
      </c>
      <c r="G1208" s="8">
        <v>3621.0</v>
      </c>
      <c r="H1208" s="8" t="s">
        <v>29</v>
      </c>
      <c r="I1208" s="8" t="s">
        <v>30</v>
      </c>
      <c r="L1208" s="8" t="s">
        <v>31</v>
      </c>
      <c r="M1208" s="8" t="s">
        <v>34</v>
      </c>
      <c r="P1208" s="9">
        <v>44127.0</v>
      </c>
      <c r="Q1208" s="10">
        <v>0.08333333333575865</v>
      </c>
      <c r="R1208" s="11" t="str">
        <f t="shared" si="1"/>
        <v>Проверка комплектации</v>
      </c>
      <c r="S1208" s="16" t="str">
        <f>iferror(VLOOKUP(C1208,'ФИО'!A:B,2,0),"учётный код не найден")</f>
        <v>Аникина Раиса Владимировна</v>
      </c>
      <c r="T1208" s="13" t="str">
        <f t="shared" si="2"/>
        <v>915-00121.A - Процессорный модуль РСЕН.469555.027 (КНС Групп) в ТС</v>
      </c>
      <c r="U1208" s="8">
        <v>0.0</v>
      </c>
      <c r="V1208" s="8">
        <v>0.0</v>
      </c>
      <c r="W1208" s="17" t="str">
        <f t="shared" si="131"/>
        <v>Данные не заполены</v>
      </c>
      <c r="X1208" s="14" t="str">
        <f t="shared" si="123"/>
        <v>Данные не заполены</v>
      </c>
      <c r="Y1208" s="15">
        <f t="shared" si="124"/>
        <v>0</v>
      </c>
    </row>
    <row r="1209" hidden="1">
      <c r="A1209" s="7">
        <v>44127.82168167824</v>
      </c>
      <c r="B1209" s="8" t="s">
        <v>89</v>
      </c>
      <c r="C1209" s="8">
        <v>20693.0</v>
      </c>
      <c r="D1209" s="8" t="s">
        <v>27</v>
      </c>
      <c r="E1209" s="8" t="s">
        <v>48</v>
      </c>
      <c r="L1209" s="8" t="s">
        <v>31</v>
      </c>
      <c r="M1209" s="8" t="s">
        <v>34</v>
      </c>
      <c r="P1209" s="9">
        <v>44127.0</v>
      </c>
      <c r="Q1209" s="10">
        <v>0.125</v>
      </c>
      <c r="R1209" s="11" t="str">
        <f t="shared" si="1"/>
        <v>Выполнение организационных работ</v>
      </c>
      <c r="S1209" s="16" t="str">
        <f>iferror(VLOOKUP(C1209,'ФИО'!A:B,2,0),"учётный код не найден")</f>
        <v>Аникина Раиса Владимировна</v>
      </c>
      <c r="T1209" s="13" t="str">
        <f t="shared" si="2"/>
        <v/>
      </c>
      <c r="W1209" s="17" t="str">
        <f t="shared" si="131"/>
        <v>Данные не заполены</v>
      </c>
      <c r="X1209" s="14" t="str">
        <f t="shared" si="123"/>
        <v>Данные не заполены</v>
      </c>
      <c r="Y1209" s="15">
        <f t="shared" si="124"/>
        <v>0</v>
      </c>
    </row>
    <row r="1210" hidden="1">
      <c r="A1210" s="7">
        <v>44127.82394243055</v>
      </c>
      <c r="B1210" s="8" t="s">
        <v>89</v>
      </c>
      <c r="C1210" s="8">
        <v>20693.0</v>
      </c>
      <c r="D1210" s="8" t="s">
        <v>27</v>
      </c>
      <c r="E1210" s="8" t="s">
        <v>82</v>
      </c>
      <c r="G1210" s="8">
        <v>3621.0</v>
      </c>
      <c r="H1210" s="8" t="s">
        <v>29</v>
      </c>
      <c r="I1210" s="8" t="s">
        <v>30</v>
      </c>
      <c r="L1210" s="8" t="s">
        <v>37</v>
      </c>
      <c r="P1210" s="9">
        <v>44127.0</v>
      </c>
      <c r="Q1210" s="10">
        <v>0.09375</v>
      </c>
      <c r="R1210" s="11" t="str">
        <f t="shared" si="1"/>
        <v>Настройка установщиков</v>
      </c>
      <c r="S1210" s="16" t="str">
        <f>iferror(VLOOKUP(C1210,'ФИО'!A:B,2,0),"учётный код не найден")</f>
        <v>Аникина Раиса Владимировна</v>
      </c>
      <c r="T1210" s="13" t="str">
        <f t="shared" si="2"/>
        <v>915-00121.A - Процессорный модуль РСЕН.469555.027 (КНС Групп) в ТС</v>
      </c>
      <c r="U1210" s="8">
        <v>4.0</v>
      </c>
      <c r="V1210" s="8">
        <v>0.0</v>
      </c>
      <c r="W1210" s="17" t="str">
        <f t="shared" si="131"/>
        <v>Данные не заполены</v>
      </c>
      <c r="X1210" s="14" t="str">
        <f t="shared" si="123"/>
        <v>Данные не заполены</v>
      </c>
      <c r="Y1210" s="15">
        <f t="shared" si="124"/>
        <v>0</v>
      </c>
    </row>
    <row r="1211" hidden="1">
      <c r="A1211" s="7">
        <v>44127.82458721065</v>
      </c>
      <c r="B1211" s="8" t="s">
        <v>89</v>
      </c>
      <c r="C1211" s="8">
        <v>20693.0</v>
      </c>
      <c r="D1211" s="8" t="s">
        <v>27</v>
      </c>
      <c r="E1211" s="8" t="s">
        <v>67</v>
      </c>
      <c r="G1211" s="8">
        <v>3621.0</v>
      </c>
      <c r="H1211" s="8" t="s">
        <v>29</v>
      </c>
      <c r="I1211" s="8" t="s">
        <v>30</v>
      </c>
      <c r="L1211" s="8" t="s">
        <v>37</v>
      </c>
      <c r="P1211" s="9">
        <v>44127.0</v>
      </c>
      <c r="Q1211" s="10">
        <v>0.09375</v>
      </c>
      <c r="R1211" s="11" t="str">
        <f t="shared" si="1"/>
        <v>Сборка на линии Prim</v>
      </c>
      <c r="S1211" s="16" t="str">
        <f>iferror(VLOOKUP(C1211,'ФИО'!A:B,2,0),"учётный код не найден")</f>
        <v>Аникина Раиса Владимировна</v>
      </c>
      <c r="T1211" s="13" t="str">
        <f t="shared" si="2"/>
        <v>915-00121.A - Процессорный модуль РСЕН.469555.027 (КНС Групп) в ТС</v>
      </c>
      <c r="U1211" s="8">
        <v>0.0</v>
      </c>
      <c r="V1211" s="8">
        <v>0.0</v>
      </c>
      <c r="W1211" s="17" t="str">
        <f t="shared" si="131"/>
        <v>Данные не заполены</v>
      </c>
      <c r="X1211" s="14" t="str">
        <f t="shared" si="123"/>
        <v>Данные не заполены</v>
      </c>
      <c r="Y1211" s="15">
        <f t="shared" si="124"/>
        <v>0</v>
      </c>
    </row>
    <row r="1212" hidden="1">
      <c r="A1212" s="7">
        <v>44127.818971967594</v>
      </c>
      <c r="B1212" s="8" t="s">
        <v>89</v>
      </c>
      <c r="C1212" s="8">
        <v>21504.0</v>
      </c>
      <c r="D1212" s="8" t="s">
        <v>27</v>
      </c>
      <c r="E1212" s="8" t="s">
        <v>259</v>
      </c>
      <c r="G1212" s="8">
        <v>3804.0</v>
      </c>
      <c r="H1212" s="8" t="s">
        <v>45</v>
      </c>
      <c r="K1212" s="8" t="s">
        <v>52</v>
      </c>
      <c r="L1212" s="8" t="s">
        <v>31</v>
      </c>
      <c r="M1212" s="8" t="s">
        <v>34</v>
      </c>
      <c r="P1212" s="9">
        <v>44127.0</v>
      </c>
      <c r="Q1212" s="10">
        <v>0.16666666666424135</v>
      </c>
      <c r="R1212" s="11" t="str">
        <f t="shared" si="1"/>
        <v>Проверка программы на АОИ SEC</v>
      </c>
      <c r="S1212" s="16" t="str">
        <f>iferror(VLOOKUP(C1212,'ФИО'!A:B,2,0),"учётный код не найден")</f>
        <v>Александрова Елена Сергеевна</v>
      </c>
      <c r="T1212" s="13" t="str">
        <f t="shared" si="2"/>
        <v>М17V2 (900-00018.D)_910-00023.H и ПУ 910-00012.I</v>
      </c>
      <c r="U1212" s="8">
        <v>0.0</v>
      </c>
      <c r="V1212" s="8">
        <v>0.0</v>
      </c>
      <c r="W1212" s="17" t="str">
        <f t="shared" si="131"/>
        <v>Данные не заполены</v>
      </c>
      <c r="X1212" s="14" t="str">
        <f t="shared" si="123"/>
        <v>Данные не заполены</v>
      </c>
      <c r="Y1212" s="15">
        <f t="shared" si="124"/>
        <v>0</v>
      </c>
    </row>
    <row r="1213" hidden="1">
      <c r="A1213" s="7">
        <v>44127.81982711806</v>
      </c>
      <c r="B1213" s="8" t="s">
        <v>89</v>
      </c>
      <c r="C1213" s="8">
        <v>21504.0</v>
      </c>
      <c r="D1213" s="8" t="s">
        <v>27</v>
      </c>
      <c r="E1213" s="8" t="s">
        <v>68</v>
      </c>
      <c r="L1213" s="8" t="s">
        <v>31</v>
      </c>
      <c r="M1213" s="8" t="s">
        <v>279</v>
      </c>
      <c r="P1213" s="9">
        <v>44127.0</v>
      </c>
      <c r="Q1213" s="10">
        <v>0.08333333333575865</v>
      </c>
      <c r="R1213" s="11" t="str">
        <f t="shared" si="1"/>
        <v>Прохождение обучения</v>
      </c>
      <c r="S1213" s="16" t="str">
        <f>iferror(VLOOKUP(C1213,'ФИО'!A:B,2,0),"учётный код не найден")</f>
        <v>Александрова Елена Сергеевна</v>
      </c>
      <c r="T1213" s="13" t="str">
        <f t="shared" si="2"/>
        <v/>
      </c>
      <c r="W1213" s="17" t="str">
        <f t="shared" si="131"/>
        <v>Данные не заполены</v>
      </c>
      <c r="X1213" s="14" t="str">
        <f t="shared" si="123"/>
        <v>Данные не заполены</v>
      </c>
      <c r="Y1213" s="15">
        <f t="shared" si="124"/>
        <v>0</v>
      </c>
    </row>
    <row r="1214" hidden="1">
      <c r="A1214" s="7">
        <v>44127.82050943287</v>
      </c>
      <c r="B1214" s="8" t="s">
        <v>89</v>
      </c>
      <c r="C1214" s="8">
        <v>21504.0</v>
      </c>
      <c r="D1214" s="8" t="s">
        <v>27</v>
      </c>
      <c r="E1214" s="8" t="s">
        <v>100</v>
      </c>
      <c r="G1214" s="8">
        <v>3804.0</v>
      </c>
      <c r="H1214" s="8" t="s">
        <v>45</v>
      </c>
      <c r="K1214" s="8" t="s">
        <v>52</v>
      </c>
      <c r="L1214" s="8" t="s">
        <v>37</v>
      </c>
      <c r="P1214" s="9">
        <v>44127.0</v>
      </c>
      <c r="Q1214" s="10">
        <v>0.08333333333575865</v>
      </c>
      <c r="R1214" s="11" t="str">
        <f t="shared" si="1"/>
        <v>Проверка плат на АОИ Sec</v>
      </c>
      <c r="S1214" s="16" t="str">
        <f>iferror(VLOOKUP(C1214,'ФИО'!A:B,2,0),"учётный код не найден")</f>
        <v>Александрова Елена Сергеевна</v>
      </c>
      <c r="T1214" s="13" t="str">
        <f t="shared" si="2"/>
        <v>М17V2 (900-00018.D)_910-00023.H и ПУ 910-00012.I</v>
      </c>
      <c r="U1214" s="8">
        <v>84.0</v>
      </c>
      <c r="V1214" s="8">
        <v>156.0</v>
      </c>
      <c r="W1214" s="17" t="str">
        <f t="shared" si="131"/>
        <v>Данные не заполены</v>
      </c>
      <c r="X1214" s="14" t="str">
        <f t="shared" si="123"/>
        <v>Данные не заполены</v>
      </c>
      <c r="Y1214" s="15">
        <f t="shared" si="124"/>
        <v>1.857142857</v>
      </c>
      <c r="Z1214" s="8" t="s">
        <v>280</v>
      </c>
    </row>
    <row r="1215" hidden="1">
      <c r="A1215" s="7">
        <v>44127.8211209838</v>
      </c>
      <c r="B1215" s="8" t="s">
        <v>89</v>
      </c>
      <c r="C1215" s="8">
        <v>21504.0</v>
      </c>
      <c r="D1215" s="8" t="s">
        <v>27</v>
      </c>
      <c r="E1215" s="8" t="s">
        <v>244</v>
      </c>
      <c r="G1215" s="8">
        <v>3804.0</v>
      </c>
      <c r="H1215" s="8" t="s">
        <v>45</v>
      </c>
      <c r="K1215" s="8" t="s">
        <v>52</v>
      </c>
      <c r="L1215" s="8" t="s">
        <v>31</v>
      </c>
      <c r="M1215" s="8" t="s">
        <v>34</v>
      </c>
      <c r="P1215" s="9">
        <v>44127.0</v>
      </c>
      <c r="Q1215" s="10">
        <v>0.055555555554747116</v>
      </c>
      <c r="R1215" s="11" t="str">
        <f t="shared" si="1"/>
        <v>ReviewStation sec</v>
      </c>
      <c r="S1215" s="16" t="str">
        <f>iferror(VLOOKUP(C1215,'ФИО'!A:B,2,0),"учётный код не найден")</f>
        <v>Александрова Елена Сергеевна</v>
      </c>
      <c r="T1215" s="13" t="str">
        <f t="shared" si="2"/>
        <v>М17V2 (900-00018.D)_910-00023.H и ПУ 910-00012.I</v>
      </c>
      <c r="U1215" s="8">
        <v>0.0</v>
      </c>
      <c r="V1215" s="8">
        <v>10.0</v>
      </c>
      <c r="W1215" s="17" t="str">
        <f t="shared" si="131"/>
        <v>Данные не заполены</v>
      </c>
      <c r="X1215" s="14" t="str">
        <f t="shared" si="123"/>
        <v>Данные не заполены</v>
      </c>
      <c r="Y1215" s="15">
        <f t="shared" si="124"/>
        <v>10</v>
      </c>
      <c r="Z1215" s="8" t="s">
        <v>280</v>
      </c>
    </row>
    <row r="1216" hidden="1">
      <c r="A1216" s="7">
        <v>44127.82201703703</v>
      </c>
      <c r="B1216" s="8" t="s">
        <v>89</v>
      </c>
      <c r="C1216" s="8">
        <v>21504.0</v>
      </c>
      <c r="D1216" s="8" t="s">
        <v>27</v>
      </c>
      <c r="E1216" s="8" t="s">
        <v>67</v>
      </c>
      <c r="G1216" s="8">
        <v>3621.0</v>
      </c>
      <c r="H1216" s="8" t="s">
        <v>29</v>
      </c>
      <c r="I1216" s="8" t="s">
        <v>54</v>
      </c>
      <c r="L1216" s="8" t="s">
        <v>37</v>
      </c>
      <c r="P1216" s="9">
        <v>44127.0</v>
      </c>
      <c r="Q1216" s="10">
        <v>0.06944444444525288</v>
      </c>
      <c r="R1216" s="11" t="str">
        <f t="shared" si="1"/>
        <v>Сборка на линии Prim</v>
      </c>
      <c r="S1216" s="16" t="str">
        <f>iferror(VLOOKUP(C1216,'ФИО'!A:B,2,0),"учётный код не найден")</f>
        <v>Александрова Елена Сергеевна</v>
      </c>
      <c r="T1216" s="13" t="str">
        <f t="shared" si="2"/>
        <v>915-00121.A - Процессорный модуль РСЕН.469555.027 (КНС Групп)</v>
      </c>
      <c r="U1216" s="8">
        <v>0.0</v>
      </c>
      <c r="V1216" s="8">
        <v>0.0</v>
      </c>
      <c r="W1216" s="17" t="str">
        <f t="shared" si="131"/>
        <v>Данные не заполены</v>
      </c>
      <c r="X1216" s="14" t="str">
        <f t="shared" si="123"/>
        <v>Данные не заполены</v>
      </c>
      <c r="Y1216" s="15">
        <f t="shared" si="124"/>
        <v>0</v>
      </c>
    </row>
    <row r="1217" hidden="1">
      <c r="A1217" s="7">
        <v>44109.36762924769</v>
      </c>
      <c r="B1217" s="8" t="s">
        <v>127</v>
      </c>
      <c r="C1217" s="8">
        <v>21171.0</v>
      </c>
      <c r="D1217" s="8" t="s">
        <v>27</v>
      </c>
      <c r="E1217" s="8" t="s">
        <v>195</v>
      </c>
      <c r="G1217" s="8">
        <v>3233.0</v>
      </c>
      <c r="H1217" s="8" t="s">
        <v>29</v>
      </c>
      <c r="I1217" s="8" t="s">
        <v>60</v>
      </c>
      <c r="L1217" s="8" t="s">
        <v>31</v>
      </c>
      <c r="M1217" s="8" t="s">
        <v>34</v>
      </c>
      <c r="N1217" s="8"/>
      <c r="O1217" s="8"/>
      <c r="P1217" s="9">
        <v>44108.0</v>
      </c>
      <c r="Q1217" s="10">
        <v>0.04166666666424135</v>
      </c>
      <c r="R1217" s="11" t="str">
        <f t="shared" si="1"/>
        <v>Проверка программы на АОИ PRI</v>
      </c>
      <c r="S1217" s="16" t="str">
        <f>iferror(VLOOKUP(C1217,'ФИО'!A:B,2,0),"учётный код не найден")</f>
        <v>Муртищева Ольга Валентиновна</v>
      </c>
      <c r="T1217" s="11" t="str">
        <f t="shared" si="2"/>
        <v>915-00102.A - ПБОК-2В АСЛБ.465285.013 (Квант)</v>
      </c>
      <c r="U1217" s="8">
        <v>0.0</v>
      </c>
      <c r="V1217" s="8">
        <v>0.0</v>
      </c>
      <c r="W1217" s="21" t="str">
        <f t="shared" si="131"/>
        <v>Данные не заполены</v>
      </c>
      <c r="X1217" s="15" t="str">
        <f t="shared" si="123"/>
        <v>Данные не заполены</v>
      </c>
      <c r="Y1217" s="15">
        <f t="shared" si="124"/>
        <v>0</v>
      </c>
    </row>
    <row r="1218" hidden="1">
      <c r="A1218" s="7">
        <v>44118.80439815972</v>
      </c>
      <c r="B1218" s="8" t="s">
        <v>127</v>
      </c>
      <c r="C1218" s="8">
        <v>21171.0</v>
      </c>
      <c r="D1218" s="8" t="s">
        <v>27</v>
      </c>
      <c r="E1218" s="8" t="s">
        <v>160</v>
      </c>
      <c r="G1218" s="8">
        <v>3622.0</v>
      </c>
      <c r="H1218" s="8" t="s">
        <v>29</v>
      </c>
      <c r="I1218" s="8" t="s">
        <v>90</v>
      </c>
      <c r="L1218" s="8" t="s">
        <v>31</v>
      </c>
      <c r="M1218" s="8" t="s">
        <v>34</v>
      </c>
      <c r="P1218" s="9">
        <v>44117.0</v>
      </c>
      <c r="Q1218" s="10">
        <v>0.04166666666424135</v>
      </c>
      <c r="R1218" s="11" t="str">
        <f t="shared" si="1"/>
        <v>Проверка программы установщиков</v>
      </c>
      <c r="S1218" s="22" t="s">
        <v>254</v>
      </c>
      <c r="T1218" s="11" t="str">
        <f t="shared" si="2"/>
        <v>915-00124.A - Tioga Pass_v1.1 (Гагар.ин)</v>
      </c>
      <c r="U1218" s="8">
        <v>0.0</v>
      </c>
      <c r="V1218" s="8">
        <v>0.0</v>
      </c>
      <c r="W1218" s="17" t="str">
        <f t="shared" si="131"/>
        <v>Данные не заполены</v>
      </c>
      <c r="X1218" s="14" t="str">
        <f t="shared" si="123"/>
        <v>Данные не заполены</v>
      </c>
      <c r="Y1218" s="15">
        <f t="shared" si="124"/>
        <v>0</v>
      </c>
    </row>
    <row r="1219" hidden="1">
      <c r="A1219" s="7">
        <v>44118.80952145833</v>
      </c>
      <c r="B1219" s="8" t="s">
        <v>127</v>
      </c>
      <c r="C1219" s="8">
        <v>21171.0</v>
      </c>
      <c r="D1219" s="8" t="s">
        <v>27</v>
      </c>
      <c r="E1219" s="8" t="s">
        <v>160</v>
      </c>
      <c r="G1219" s="8">
        <v>3622.0</v>
      </c>
      <c r="H1219" s="8" t="s">
        <v>29</v>
      </c>
      <c r="I1219" s="8" t="s">
        <v>90</v>
      </c>
      <c r="L1219" s="8" t="s">
        <v>31</v>
      </c>
      <c r="M1219" s="8" t="s">
        <v>34</v>
      </c>
      <c r="P1219" s="9">
        <v>44117.0</v>
      </c>
      <c r="Q1219" s="10">
        <v>0.020833333335758653</v>
      </c>
      <c r="R1219" s="11" t="str">
        <f t="shared" si="1"/>
        <v>Проверка программы установщиков</v>
      </c>
      <c r="S1219" s="22" t="s">
        <v>254</v>
      </c>
      <c r="T1219" s="11" t="str">
        <f t="shared" si="2"/>
        <v>915-00124.A - Tioga Pass_v1.1 (Гагар.ин)</v>
      </c>
      <c r="U1219" s="8">
        <v>0.0</v>
      </c>
      <c r="V1219" s="8">
        <v>0.0</v>
      </c>
      <c r="W1219" s="17" t="str">
        <f t="shared" si="131"/>
        <v>Данные не заполены</v>
      </c>
      <c r="X1219" s="14" t="str">
        <f t="shared" si="123"/>
        <v>Данные не заполены</v>
      </c>
      <c r="Y1219" s="15">
        <f t="shared" si="124"/>
        <v>0</v>
      </c>
    </row>
    <row r="1220" hidden="1">
      <c r="A1220" s="7">
        <v>44109.90232331018</v>
      </c>
      <c r="B1220" s="8" t="s">
        <v>127</v>
      </c>
      <c r="C1220" s="8">
        <v>21171.0</v>
      </c>
      <c r="D1220" s="8" t="s">
        <v>27</v>
      </c>
      <c r="E1220" s="8" t="s">
        <v>68</v>
      </c>
      <c r="L1220" s="8" t="s">
        <v>31</v>
      </c>
      <c r="M1220" s="8" t="s">
        <v>34</v>
      </c>
      <c r="N1220" s="8"/>
      <c r="O1220" s="8"/>
      <c r="P1220" s="9">
        <v>44109.0</v>
      </c>
      <c r="Q1220" s="10">
        <v>0.0625</v>
      </c>
      <c r="R1220" s="11" t="str">
        <f t="shared" si="1"/>
        <v>Прохождение обучения</v>
      </c>
      <c r="S1220" s="16" t="str">
        <f>iferror(VLOOKUP(C1220,'ФИО'!A:B,2,0),"учётный код не найден")</f>
        <v>Муртищева Ольга Валентиновна</v>
      </c>
      <c r="T1220" s="11" t="str">
        <f t="shared" si="2"/>
        <v/>
      </c>
      <c r="W1220" s="21" t="str">
        <f t="shared" si="131"/>
        <v>Данные не заполены</v>
      </c>
      <c r="X1220" s="15" t="str">
        <f t="shared" si="123"/>
        <v>Данные не заполены</v>
      </c>
      <c r="Y1220" s="15">
        <f t="shared" si="124"/>
        <v>0</v>
      </c>
    </row>
    <row r="1221" hidden="1">
      <c r="A1221" s="7">
        <v>44132.82333505787</v>
      </c>
      <c r="B1221" s="8" t="s">
        <v>127</v>
      </c>
      <c r="C1221" s="8">
        <v>21171.0</v>
      </c>
      <c r="D1221" s="8" t="s">
        <v>27</v>
      </c>
      <c r="E1221" s="8" t="s">
        <v>68</v>
      </c>
      <c r="L1221" s="8" t="s">
        <v>31</v>
      </c>
      <c r="M1221" s="8" t="s">
        <v>34</v>
      </c>
      <c r="P1221" s="9">
        <v>44132.0</v>
      </c>
      <c r="Q1221" s="10">
        <v>0.08333333333575865</v>
      </c>
      <c r="R1221" s="11" t="str">
        <f t="shared" si="1"/>
        <v>Прохождение обучения</v>
      </c>
      <c r="S1221" s="16" t="str">
        <f>iferror(VLOOKUP(C1221,'ФИО'!A:B,2,0),"учётный код не найден")</f>
        <v>Муртищева Ольга Валентиновна</v>
      </c>
      <c r="T1221" s="11" t="str">
        <f t="shared" si="2"/>
        <v/>
      </c>
      <c r="W1221" s="17" t="str">
        <f t="shared" si="131"/>
        <v>Данные не заполены</v>
      </c>
      <c r="X1221" s="14" t="str">
        <f t="shared" si="123"/>
        <v>Данные не заполены</v>
      </c>
      <c r="Y1221" s="15">
        <f t="shared" si="124"/>
        <v>0</v>
      </c>
    </row>
    <row r="1222" hidden="1">
      <c r="A1222" s="7">
        <v>44113.30248789352</v>
      </c>
      <c r="B1222" s="8" t="s">
        <v>126</v>
      </c>
      <c r="C1222" s="8">
        <v>21171.0</v>
      </c>
      <c r="D1222" s="8" t="s">
        <v>27</v>
      </c>
      <c r="E1222" s="8" t="s">
        <v>68</v>
      </c>
      <c r="L1222" s="8" t="s">
        <v>31</v>
      </c>
      <c r="M1222" s="8" t="s">
        <v>34</v>
      </c>
      <c r="N1222" s="8"/>
      <c r="O1222" s="8"/>
      <c r="P1222" s="9">
        <v>44111.0</v>
      </c>
      <c r="Q1222" s="10">
        <v>0.020833333335758653</v>
      </c>
      <c r="R1222" s="11" t="str">
        <f t="shared" si="1"/>
        <v>Прохождение обучения</v>
      </c>
      <c r="S1222" s="16" t="str">
        <f>iferror(VLOOKUP(C1222,'ФИО'!A:B,2,0),"учётный код не найден")</f>
        <v>Муртищева Ольга Валентиновна</v>
      </c>
      <c r="T1222" s="13" t="str">
        <f t="shared" si="2"/>
        <v/>
      </c>
      <c r="W1222" s="21" t="str">
        <f t="shared" si="131"/>
        <v>Данные не заполены</v>
      </c>
      <c r="X1222" s="15" t="str">
        <f t="shared" si="123"/>
        <v>Данные не заполены</v>
      </c>
      <c r="Y1222" s="15">
        <f t="shared" si="124"/>
        <v>0</v>
      </c>
    </row>
    <row r="1223" hidden="1">
      <c r="A1223" s="7">
        <v>44112.32938648148</v>
      </c>
      <c r="B1223" s="8" t="s">
        <v>126</v>
      </c>
      <c r="C1223" s="8">
        <v>22574.0</v>
      </c>
      <c r="D1223" s="8" t="s">
        <v>27</v>
      </c>
      <c r="E1223" s="8" t="s">
        <v>68</v>
      </c>
      <c r="L1223" s="8" t="s">
        <v>31</v>
      </c>
      <c r="M1223" s="8" t="s">
        <v>34</v>
      </c>
      <c r="N1223" s="8"/>
      <c r="O1223" s="8"/>
      <c r="P1223" s="9">
        <v>44111.0</v>
      </c>
      <c r="Q1223" s="10">
        <v>0.020833333335758653</v>
      </c>
      <c r="R1223" s="11" t="str">
        <f t="shared" si="1"/>
        <v>Прохождение обучения</v>
      </c>
      <c r="S1223" s="16" t="str">
        <f>iferror(VLOOKUP(C1223,'ФИО'!A:B,2,0),"учётный код не найден")</f>
        <v>Шапенков Геннадий Михайлович</v>
      </c>
      <c r="T1223" s="13" t="str">
        <f t="shared" si="2"/>
        <v/>
      </c>
      <c r="W1223" s="21" t="str">
        <f t="shared" si="131"/>
        <v>Данные не заполены</v>
      </c>
      <c r="X1223" s="15" t="str">
        <f t="shared" si="123"/>
        <v>Данные не заполены</v>
      </c>
      <c r="Y1223" s="15">
        <f t="shared" si="124"/>
        <v>0</v>
      </c>
    </row>
    <row r="1224" hidden="1">
      <c r="A1224" s="7">
        <v>44109.9045280787</v>
      </c>
      <c r="B1224" s="8" t="s">
        <v>127</v>
      </c>
      <c r="C1224" s="8">
        <v>21171.0</v>
      </c>
      <c r="D1224" s="8" t="s">
        <v>27</v>
      </c>
      <c r="E1224" s="8" t="s">
        <v>67</v>
      </c>
      <c r="G1224" s="8">
        <v>3726.0</v>
      </c>
      <c r="H1224" s="8" t="s">
        <v>45</v>
      </c>
      <c r="K1224" s="8" t="s">
        <v>58</v>
      </c>
      <c r="L1224" s="8" t="s">
        <v>37</v>
      </c>
      <c r="P1224" s="9">
        <v>44109.0</v>
      </c>
      <c r="Q1224" s="10">
        <v>0.04166666666424135</v>
      </c>
      <c r="R1224" s="11" t="str">
        <f t="shared" si="1"/>
        <v>Сборка на линии Prim</v>
      </c>
      <c r="S1224" s="16" t="str">
        <f>iferror(VLOOKUP(C1224,'ФИО'!A:B,2,0),"учётный код не найден")</f>
        <v>Муртищева Ольга Валентиновна</v>
      </c>
      <c r="T1224" s="11" t="str">
        <f t="shared" si="2"/>
        <v>ПУ метки i95</v>
      </c>
      <c r="U1224" s="8">
        <v>0.0</v>
      </c>
      <c r="V1224" s="8">
        <v>0.0</v>
      </c>
      <c r="W1224" s="21" t="str">
        <f t="shared" si="131"/>
        <v>Данные не заполены</v>
      </c>
      <c r="X1224" s="15" t="str">
        <f t="shared" si="123"/>
        <v>Данные не заполены</v>
      </c>
      <c r="Y1224" s="15">
        <f t="shared" si="124"/>
        <v>0</v>
      </c>
    </row>
    <row r="1225" hidden="1">
      <c r="A1225" s="7">
        <v>44117.67285130787</v>
      </c>
      <c r="B1225" s="8" t="s">
        <v>127</v>
      </c>
      <c r="C1225" s="8">
        <v>21171.0</v>
      </c>
      <c r="D1225" s="8" t="s">
        <v>27</v>
      </c>
      <c r="E1225" s="8" t="s">
        <v>67</v>
      </c>
      <c r="G1225" s="8">
        <v>3750.0</v>
      </c>
      <c r="H1225" s="8" t="s">
        <v>45</v>
      </c>
      <c r="K1225" s="8" t="s">
        <v>46</v>
      </c>
      <c r="L1225" s="8" t="s">
        <v>37</v>
      </c>
      <c r="P1225" s="9">
        <v>44116.0</v>
      </c>
      <c r="Q1225" s="10">
        <v>0.3541666666666667</v>
      </c>
      <c r="R1225" s="11" t="str">
        <f t="shared" si="1"/>
        <v>Сборка на линии Prim</v>
      </c>
      <c r="S1225" s="16" t="str">
        <f>iferror(VLOOKUP(C1225,'ФИО'!A:B,2,0),"учётный код не найден")</f>
        <v>Муртищева Ольга Валентиновна</v>
      </c>
      <c r="T1225" s="11" t="str">
        <f t="shared" si="2"/>
        <v>ПУ 910-00349.A "Печатный узел основного блока E96 4LIN"</v>
      </c>
      <c r="U1225" s="8">
        <v>0.0</v>
      </c>
      <c r="V1225" s="8">
        <v>0.0</v>
      </c>
      <c r="W1225" s="17" t="str">
        <f t="shared" si="131"/>
        <v>Данные не заполены</v>
      </c>
      <c r="X1225" s="14" t="str">
        <f t="shared" si="123"/>
        <v>Данные не заполены</v>
      </c>
      <c r="Y1225" s="15">
        <f t="shared" si="124"/>
        <v>0</v>
      </c>
    </row>
    <row r="1226" hidden="1">
      <c r="A1226" s="7">
        <v>44109.36168291667</v>
      </c>
      <c r="B1226" s="8" t="s">
        <v>127</v>
      </c>
      <c r="C1226" s="8">
        <v>21171.0</v>
      </c>
      <c r="D1226" s="8" t="s">
        <v>27</v>
      </c>
      <c r="E1226" s="8" t="s">
        <v>88</v>
      </c>
      <c r="G1226" s="8">
        <v>3706.0</v>
      </c>
      <c r="H1226" s="8" t="s">
        <v>45</v>
      </c>
      <c r="K1226" s="8" t="s">
        <v>91</v>
      </c>
      <c r="L1226" s="8" t="s">
        <v>31</v>
      </c>
      <c r="M1226" s="8" t="s">
        <v>34</v>
      </c>
      <c r="N1226" s="8"/>
      <c r="O1226" s="8"/>
      <c r="P1226" s="9">
        <v>44108.0</v>
      </c>
      <c r="Q1226" s="10">
        <v>0.05902777778101154</v>
      </c>
      <c r="R1226" s="11" t="str">
        <f t="shared" si="1"/>
        <v>Сборка на линии Sec</v>
      </c>
      <c r="S1226" s="16" t="str">
        <f>iferror(VLOOKUP(C1226,'ФИО'!A:B,2,0),"учётный код не найден")</f>
        <v>Муртищева Ольга Валентиновна</v>
      </c>
      <c r="T1226" s="11" t="str">
        <f t="shared" si="2"/>
        <v>ПУ Сигма 10/15 910-00080.D</v>
      </c>
      <c r="U1226" s="8">
        <v>0.0</v>
      </c>
      <c r="V1226" s="8">
        <v>0.0</v>
      </c>
      <c r="W1226" s="21" t="str">
        <f t="shared" si="131"/>
        <v>Данные не заполены</v>
      </c>
      <c r="X1226" s="15" t="str">
        <f t="shared" si="123"/>
        <v>Данные не заполены</v>
      </c>
      <c r="Y1226" s="15">
        <f t="shared" si="124"/>
        <v>0</v>
      </c>
    </row>
    <row r="1227" hidden="1">
      <c r="A1227" s="7">
        <v>44125.37059160879</v>
      </c>
      <c r="B1227" s="8" t="s">
        <v>127</v>
      </c>
      <c r="C1227" s="8">
        <v>21171.0</v>
      </c>
      <c r="D1227" s="8" t="s">
        <v>27</v>
      </c>
      <c r="E1227" s="8" t="s">
        <v>281</v>
      </c>
      <c r="G1227" s="8">
        <v>3253.0</v>
      </c>
      <c r="H1227" s="8" t="s">
        <v>29</v>
      </c>
      <c r="I1227" s="8" t="s">
        <v>95</v>
      </c>
      <c r="L1227" s="8" t="s">
        <v>31</v>
      </c>
      <c r="M1227" s="8" t="s">
        <v>34</v>
      </c>
      <c r="P1227" s="9">
        <v>44124.0</v>
      </c>
      <c r="Q1227" s="10">
        <v>0.10416666666424135</v>
      </c>
      <c r="R1227" s="11" t="str">
        <f t="shared" si="1"/>
        <v>Создание программы для AOI PRI</v>
      </c>
      <c r="S1227" s="16" t="str">
        <f>iferror(VLOOKUP(C1227,'ФИО'!A:B,2,0),"учётный код не найден")</f>
        <v>Муртищева Ольга Валентиновна</v>
      </c>
      <c r="T1227" s="11" t="str">
        <f t="shared" si="2"/>
        <v>915-00095.A - ПКД-8В-1 АСЛБ.467249.108 (Квант)</v>
      </c>
      <c r="U1227" s="8">
        <v>0.0</v>
      </c>
      <c r="V1227" s="8">
        <v>0.0</v>
      </c>
      <c r="W1227" s="17" t="str">
        <f t="shared" si="131"/>
        <v>Данные не заполены</v>
      </c>
      <c r="X1227" s="14" t="str">
        <f t="shared" si="123"/>
        <v>Данные не заполены</v>
      </c>
      <c r="Y1227" s="15">
        <f t="shared" si="124"/>
        <v>0</v>
      </c>
    </row>
    <row r="1228" hidden="1">
      <c r="A1228" s="7">
        <v>44127.804798495374</v>
      </c>
      <c r="B1228" s="8" t="s">
        <v>89</v>
      </c>
      <c r="C1228" s="8">
        <v>20015.0</v>
      </c>
      <c r="D1228" s="8" t="s">
        <v>69</v>
      </c>
      <c r="F1228" s="8" t="s">
        <v>103</v>
      </c>
      <c r="G1228" s="8">
        <v>3252.0</v>
      </c>
      <c r="H1228" s="8" t="s">
        <v>29</v>
      </c>
      <c r="I1228" s="8" t="s">
        <v>96</v>
      </c>
      <c r="L1228" s="8" t="s">
        <v>37</v>
      </c>
      <c r="P1228" s="9">
        <v>44127.0</v>
      </c>
      <c r="Q1228" s="10">
        <v>0.010416666664241347</v>
      </c>
      <c r="R1228" s="11" t="str">
        <f t="shared" si="1"/>
        <v>Проверка на АОИ PRI</v>
      </c>
      <c r="S1228" s="16" t="str">
        <f>iferror(VLOOKUP(C1228,'ФИО'!A:B,2,0),"учётный код не найден")</f>
        <v>Ельцов Андрей Николаевич</v>
      </c>
      <c r="T1228" s="13" t="str">
        <f t="shared" si="2"/>
        <v>915-00096.A - ПКД-8В-2 АСЛБ.467249.109</v>
      </c>
      <c r="U1228" s="8">
        <v>6.0</v>
      </c>
      <c r="V1228" s="8">
        <v>0.0</v>
      </c>
      <c r="W1228" s="17" t="str">
        <f t="shared" si="131"/>
        <v>Данные не заполены</v>
      </c>
      <c r="X1228" s="14" t="str">
        <f t="shared" si="123"/>
        <v>Данные не заполены</v>
      </c>
      <c r="Y1228" s="15">
        <f t="shared" si="124"/>
        <v>0</v>
      </c>
    </row>
    <row r="1229" hidden="1">
      <c r="A1229" s="7">
        <v>44125.3838028125</v>
      </c>
      <c r="B1229" s="8" t="s">
        <v>127</v>
      </c>
      <c r="C1229" s="8">
        <v>21171.0</v>
      </c>
      <c r="D1229" s="8" t="s">
        <v>27</v>
      </c>
      <c r="E1229" s="8" t="s">
        <v>281</v>
      </c>
      <c r="G1229" s="8">
        <v>3622.0</v>
      </c>
      <c r="H1229" s="8" t="s">
        <v>29</v>
      </c>
      <c r="I1229" s="8" t="s">
        <v>90</v>
      </c>
      <c r="L1229" s="8" t="s">
        <v>37</v>
      </c>
      <c r="P1229" s="9">
        <v>44124.0</v>
      </c>
      <c r="Q1229" s="10">
        <v>0.125</v>
      </c>
      <c r="R1229" s="11" t="str">
        <f t="shared" si="1"/>
        <v>Создание программы для AOI PRI</v>
      </c>
      <c r="S1229" s="16" t="str">
        <f>iferror(VLOOKUP(C1229,'ФИО'!A:B,2,0),"учётный код не найден")</f>
        <v>Муртищева Ольга Валентиновна</v>
      </c>
      <c r="T1229" s="11" t="str">
        <f t="shared" si="2"/>
        <v>915-00124.A - Tioga Pass_v1.1 (Гагар.ин)</v>
      </c>
      <c r="U1229" s="8">
        <v>0.0</v>
      </c>
      <c r="V1229" s="8">
        <v>0.0</v>
      </c>
      <c r="W1229" s="17" t="str">
        <f t="shared" si="131"/>
        <v>Данные не заполены</v>
      </c>
      <c r="X1229" s="14" t="str">
        <f t="shared" si="123"/>
        <v>Данные не заполены</v>
      </c>
      <c r="Y1229" s="15">
        <f t="shared" si="124"/>
        <v>0</v>
      </c>
    </row>
    <row r="1230" hidden="1">
      <c r="A1230" s="7">
        <v>44125.80550321759</v>
      </c>
      <c r="B1230" s="8" t="s">
        <v>127</v>
      </c>
      <c r="C1230" s="8">
        <v>21171.0</v>
      </c>
      <c r="D1230" s="8" t="s">
        <v>27</v>
      </c>
      <c r="E1230" s="8" t="s">
        <v>281</v>
      </c>
      <c r="G1230" s="8">
        <v>3804.0</v>
      </c>
      <c r="H1230" s="8" t="s">
        <v>45</v>
      </c>
      <c r="K1230" s="8" t="s">
        <v>52</v>
      </c>
      <c r="L1230" s="8" t="s">
        <v>31</v>
      </c>
      <c r="M1230" s="8" t="s">
        <v>34</v>
      </c>
      <c r="P1230" s="9">
        <v>44125.0</v>
      </c>
      <c r="Q1230" s="10">
        <v>0.20833333333575865</v>
      </c>
      <c r="R1230" s="11" t="str">
        <f t="shared" si="1"/>
        <v>Создание программы для AOI PRI</v>
      </c>
      <c r="S1230" s="16" t="str">
        <f>iferror(VLOOKUP(C1230,'ФИО'!A:B,2,0),"учётный код не найден")</f>
        <v>Муртищева Ольга Валентиновна</v>
      </c>
      <c r="T1230" s="11" t="str">
        <f t="shared" si="2"/>
        <v>М17V2 (900-00018.D)_910-00023.H и ПУ 910-00012.I</v>
      </c>
      <c r="U1230" s="8">
        <v>0.0</v>
      </c>
      <c r="V1230" s="8">
        <v>0.0</v>
      </c>
      <c r="W1230" s="17" t="str">
        <f t="shared" si="131"/>
        <v>Данные не заполены</v>
      </c>
      <c r="X1230" s="14" t="str">
        <f t="shared" si="123"/>
        <v>Данные не заполены</v>
      </c>
      <c r="Y1230" s="15">
        <f t="shared" si="124"/>
        <v>0</v>
      </c>
    </row>
    <row r="1231" hidden="1">
      <c r="A1231" s="7">
        <v>44132.82505157407</v>
      </c>
      <c r="B1231" s="8" t="s">
        <v>127</v>
      </c>
      <c r="C1231" s="8">
        <v>21171.0</v>
      </c>
      <c r="D1231" s="8" t="s">
        <v>27</v>
      </c>
      <c r="E1231" s="8" t="s">
        <v>281</v>
      </c>
      <c r="G1231" s="8">
        <v>3237.0</v>
      </c>
      <c r="H1231" s="8" t="s">
        <v>29</v>
      </c>
      <c r="I1231" s="8" t="s">
        <v>56</v>
      </c>
      <c r="L1231" s="8" t="s">
        <v>31</v>
      </c>
      <c r="M1231" s="8" t="s">
        <v>34</v>
      </c>
      <c r="P1231" s="9">
        <v>44132.0</v>
      </c>
      <c r="Q1231" s="10">
        <v>0.16666666666424135</v>
      </c>
      <c r="R1231" s="11" t="str">
        <f t="shared" si="1"/>
        <v>Создание программы для AOI PRI</v>
      </c>
      <c r="S1231" s="16" t="str">
        <f>iferror(VLOOKUP(C1231,'ФИО'!A:B,2,0),"учётный код не найден")</f>
        <v>Муртищева Ольга Валентиновна</v>
      </c>
      <c r="T1231" s="11" t="str">
        <f t="shared" si="2"/>
        <v>915-00098.А - ПКБУИК-38 АСЛБ.465122.020 (Квант)</v>
      </c>
      <c r="U1231" s="8">
        <v>0.0</v>
      </c>
      <c r="V1231" s="8">
        <v>0.0</v>
      </c>
      <c r="W1231" s="17" t="str">
        <f t="shared" si="131"/>
        <v>Данные не заполены</v>
      </c>
      <c r="X1231" s="14" t="str">
        <f t="shared" si="123"/>
        <v>Данные не заполены</v>
      </c>
      <c r="Y1231" s="15">
        <f t="shared" si="124"/>
        <v>0</v>
      </c>
    </row>
    <row r="1232" hidden="1">
      <c r="A1232" s="7">
        <v>44132.82940054398</v>
      </c>
      <c r="B1232" s="8" t="s">
        <v>127</v>
      </c>
      <c r="C1232" s="8">
        <v>21171.0</v>
      </c>
      <c r="D1232" s="8" t="s">
        <v>27</v>
      </c>
      <c r="E1232" s="8" t="s">
        <v>281</v>
      </c>
      <c r="G1232" s="8">
        <v>3802.0</v>
      </c>
      <c r="H1232" s="8" t="s">
        <v>45</v>
      </c>
      <c r="K1232" s="8" t="s">
        <v>120</v>
      </c>
      <c r="L1232" s="8" t="s">
        <v>31</v>
      </c>
      <c r="M1232" s="8" t="s">
        <v>34</v>
      </c>
      <c r="P1232" s="9">
        <v>44132.0</v>
      </c>
      <c r="Q1232" s="10">
        <v>0.08333333333575865</v>
      </c>
      <c r="R1232" s="11" t="str">
        <f t="shared" si="1"/>
        <v>Создание программы для AOI PRI</v>
      </c>
      <c r="S1232" s="16" t="str">
        <f>iferror(VLOOKUP(C1232,'ФИО'!A:B,2,0),"учётный код не найден")</f>
        <v>Муртищева Ольга Валентиновна</v>
      </c>
      <c r="T1232" s="11" t="str">
        <f t="shared" si="2"/>
        <v>М15ECO (900-00030.С) 910-00034.C/910-00041.C</v>
      </c>
      <c r="U1232" s="8">
        <v>0.0</v>
      </c>
      <c r="V1232" s="8">
        <v>0.0</v>
      </c>
      <c r="W1232" s="17" t="str">
        <f t="shared" si="131"/>
        <v>Данные не заполены</v>
      </c>
      <c r="X1232" s="14" t="str">
        <f t="shared" si="123"/>
        <v>Данные не заполены</v>
      </c>
      <c r="Y1232" s="15">
        <f t="shared" si="124"/>
        <v>0</v>
      </c>
    </row>
    <row r="1233" hidden="1">
      <c r="A1233" s="7">
        <v>44133.83180862269</v>
      </c>
      <c r="B1233" s="8" t="s">
        <v>127</v>
      </c>
      <c r="C1233" s="8">
        <v>21171.0</v>
      </c>
      <c r="D1233" s="8" t="s">
        <v>27</v>
      </c>
      <c r="E1233" s="8" t="s">
        <v>281</v>
      </c>
      <c r="G1233" s="8">
        <v>3802.0</v>
      </c>
      <c r="H1233" s="8" t="s">
        <v>45</v>
      </c>
      <c r="K1233" s="8" t="s">
        <v>120</v>
      </c>
      <c r="L1233" s="8" t="s">
        <v>31</v>
      </c>
      <c r="M1233" s="8" t="s">
        <v>34</v>
      </c>
      <c r="P1233" s="9">
        <v>44133.0</v>
      </c>
      <c r="Q1233" s="10">
        <v>0.16666666666424135</v>
      </c>
      <c r="R1233" s="11" t="str">
        <f t="shared" si="1"/>
        <v>Создание программы для AOI PRI</v>
      </c>
      <c r="S1233" s="16" t="str">
        <f>iferror(VLOOKUP(C1233,'ФИО'!A:B,2,0),"учётный код не найден")</f>
        <v>Муртищева Ольга Валентиновна</v>
      </c>
      <c r="T1233" s="11" t="str">
        <f t="shared" si="2"/>
        <v>М15ECO (900-00030.С) 910-00034.C/910-00041.C</v>
      </c>
      <c r="U1233" s="8">
        <v>0.0</v>
      </c>
      <c r="V1233" s="8">
        <v>0.0</v>
      </c>
      <c r="W1233" s="17" t="str">
        <f t="shared" si="131"/>
        <v>Данные не заполены</v>
      </c>
      <c r="X1233" s="14" t="str">
        <f t="shared" si="123"/>
        <v>Данные не заполены</v>
      </c>
      <c r="Y1233" s="15">
        <f t="shared" si="124"/>
        <v>0</v>
      </c>
    </row>
    <row r="1234" hidden="1">
      <c r="A1234" s="7">
        <v>44125.80594240741</v>
      </c>
      <c r="B1234" s="8" t="s">
        <v>127</v>
      </c>
      <c r="C1234" s="8">
        <v>21171.0</v>
      </c>
      <c r="D1234" s="8" t="s">
        <v>27</v>
      </c>
      <c r="E1234" s="8" t="s">
        <v>282</v>
      </c>
      <c r="G1234" s="8">
        <v>3804.0</v>
      </c>
      <c r="H1234" s="8" t="s">
        <v>45</v>
      </c>
      <c r="K1234" s="8" t="s">
        <v>52</v>
      </c>
      <c r="L1234" s="8" t="s">
        <v>31</v>
      </c>
      <c r="M1234" s="8" t="s">
        <v>34</v>
      </c>
      <c r="P1234" s="9">
        <v>44125.0</v>
      </c>
      <c r="Q1234" s="10">
        <v>0.1875</v>
      </c>
      <c r="R1234" s="11" t="str">
        <f t="shared" si="1"/>
        <v>Создание программы для AOI SEC</v>
      </c>
      <c r="S1234" s="16" t="str">
        <f>iferror(VLOOKUP(C1234,'ФИО'!A:B,2,0),"учётный код не найден")</f>
        <v>Муртищева Ольга Валентиновна</v>
      </c>
      <c r="T1234" s="11" t="str">
        <f t="shared" si="2"/>
        <v>М17V2 (900-00018.D)_910-00023.H и ПУ 910-00012.I</v>
      </c>
      <c r="U1234" s="8">
        <v>0.0</v>
      </c>
      <c r="V1234" s="8">
        <v>0.0</v>
      </c>
      <c r="W1234" s="17" t="str">
        <f t="shared" si="131"/>
        <v>Данные не заполены</v>
      </c>
      <c r="X1234" s="14" t="str">
        <f t="shared" si="123"/>
        <v>Данные не заполены</v>
      </c>
      <c r="Y1234" s="15">
        <f t="shared" si="124"/>
        <v>0</v>
      </c>
    </row>
    <row r="1235" hidden="1">
      <c r="A1235" s="7">
        <v>44112.3220125463</v>
      </c>
      <c r="B1235" s="8" t="s">
        <v>126</v>
      </c>
      <c r="C1235" s="8">
        <v>22574.0</v>
      </c>
      <c r="D1235" s="8" t="s">
        <v>27</v>
      </c>
      <c r="E1235" s="8" t="s">
        <v>201</v>
      </c>
      <c r="G1235" s="8">
        <v>3580.0</v>
      </c>
      <c r="H1235" s="8" t="s">
        <v>29</v>
      </c>
      <c r="I1235" s="8" t="s">
        <v>145</v>
      </c>
      <c r="L1235" s="8" t="s">
        <v>37</v>
      </c>
      <c r="P1235" s="9">
        <v>44111.0</v>
      </c>
      <c r="Q1235" s="10">
        <v>0.020833333335758653</v>
      </c>
      <c r="R1235" s="11" t="str">
        <f t="shared" si="1"/>
        <v>Разрядка питателей Prim</v>
      </c>
      <c r="S1235" s="16" t="str">
        <f>iferror(VLOOKUP(C1235,'ФИО'!A:B,2,0),"учётный код не найден")</f>
        <v>Шапенков Геннадий Михайлович</v>
      </c>
      <c r="T1235" s="13" t="str">
        <f t="shared" si="2"/>
        <v>XR (OÜ KLARBERG)</v>
      </c>
      <c r="U1235" s="8">
        <v>20.0</v>
      </c>
      <c r="V1235" s="8">
        <v>0.0</v>
      </c>
      <c r="W1235" s="21" t="str">
        <f t="shared" si="131"/>
        <v>Данные не заполены</v>
      </c>
      <c r="X1235" s="15" t="str">
        <f t="shared" si="123"/>
        <v>Данные не заполены</v>
      </c>
      <c r="Y1235" s="15">
        <f t="shared" si="124"/>
        <v>0</v>
      </c>
    </row>
    <row r="1236" hidden="1">
      <c r="A1236" s="7">
        <v>44113.333199976856</v>
      </c>
      <c r="B1236" s="8" t="s">
        <v>126</v>
      </c>
      <c r="C1236" s="8">
        <v>21927.0</v>
      </c>
      <c r="D1236" s="8" t="s">
        <v>27</v>
      </c>
      <c r="E1236" s="8" t="s">
        <v>201</v>
      </c>
      <c r="G1236" s="8">
        <v>3580.0</v>
      </c>
      <c r="H1236" s="8" t="s">
        <v>29</v>
      </c>
      <c r="I1236" s="8" t="s">
        <v>146</v>
      </c>
      <c r="L1236" s="8" t="s">
        <v>31</v>
      </c>
      <c r="M1236" s="8" t="s">
        <v>34</v>
      </c>
      <c r="N1236" s="8"/>
      <c r="O1236" s="8"/>
      <c r="P1236" s="9">
        <v>44112.0</v>
      </c>
      <c r="Q1236" s="10">
        <v>0.020833333335758653</v>
      </c>
      <c r="R1236" s="11" t="str">
        <f t="shared" si="1"/>
        <v>Разрядка питателей Prim</v>
      </c>
      <c r="S1236" s="16" t="str">
        <f>iferror(VLOOKUP(C1236,'ФИО'!A:B,2,0),"учётный код не найден")</f>
        <v>Шергин Родион Олегович</v>
      </c>
      <c r="T1236" s="13" t="str">
        <f t="shared" si="2"/>
        <v>XR (Термотроник)</v>
      </c>
      <c r="U1236" s="8">
        <v>50.0</v>
      </c>
      <c r="V1236" s="8">
        <v>0.0</v>
      </c>
      <c r="W1236" s="21" t="str">
        <f t="shared" si="131"/>
        <v>Данные не заполены</v>
      </c>
      <c r="X1236" s="15" t="str">
        <f t="shared" si="123"/>
        <v>Данные не заполены</v>
      </c>
      <c r="Y1236" s="15">
        <f t="shared" si="124"/>
        <v>0</v>
      </c>
    </row>
    <row r="1237" hidden="1">
      <c r="A1237" s="7">
        <v>44133.83605864583</v>
      </c>
      <c r="B1237" s="8" t="s">
        <v>127</v>
      </c>
      <c r="C1237" s="8">
        <v>21171.0</v>
      </c>
      <c r="D1237" s="8" t="s">
        <v>27</v>
      </c>
      <c r="E1237" s="8" t="s">
        <v>282</v>
      </c>
      <c r="G1237" s="8">
        <v>3802.0</v>
      </c>
      <c r="H1237" s="8" t="s">
        <v>45</v>
      </c>
      <c r="K1237" s="8" t="s">
        <v>120</v>
      </c>
      <c r="L1237" s="8" t="s">
        <v>31</v>
      </c>
      <c r="M1237" s="8" t="s">
        <v>34</v>
      </c>
      <c r="P1237" s="9">
        <v>44133.0</v>
      </c>
      <c r="Q1237" s="10">
        <v>0.14583333333575865</v>
      </c>
      <c r="R1237" s="11" t="str">
        <f t="shared" si="1"/>
        <v>Создание программы для AOI SEC</v>
      </c>
      <c r="S1237" s="16" t="str">
        <f>iferror(VLOOKUP(C1237,'ФИО'!A:B,2,0),"учётный код не найден")</f>
        <v>Муртищева Ольга Валентиновна</v>
      </c>
      <c r="T1237" s="11" t="str">
        <f t="shared" si="2"/>
        <v>М15ECO (900-00030.С) 910-00034.C/910-00041.C</v>
      </c>
      <c r="U1237" s="8">
        <v>0.0</v>
      </c>
      <c r="V1237" s="8">
        <v>0.0</v>
      </c>
      <c r="W1237" s="17" t="str">
        <f t="shared" si="131"/>
        <v>Данные не заполены</v>
      </c>
      <c r="X1237" s="14" t="str">
        <f t="shared" si="123"/>
        <v>Данные не заполены</v>
      </c>
      <c r="Y1237" s="15">
        <f t="shared" si="124"/>
        <v>0</v>
      </c>
    </row>
    <row r="1238" hidden="1">
      <c r="A1238" s="7">
        <v>44133.839604513894</v>
      </c>
      <c r="B1238" s="8" t="s">
        <v>127</v>
      </c>
      <c r="C1238" s="8">
        <v>21171.0</v>
      </c>
      <c r="D1238" s="8" t="s">
        <v>27</v>
      </c>
      <c r="E1238" s="8" t="s">
        <v>282</v>
      </c>
      <c r="G1238" s="8">
        <v>3621.0</v>
      </c>
      <c r="H1238" s="8" t="s">
        <v>29</v>
      </c>
      <c r="I1238" s="8" t="s">
        <v>54</v>
      </c>
      <c r="L1238" s="8" t="s">
        <v>31</v>
      </c>
      <c r="M1238" s="8" t="s">
        <v>34</v>
      </c>
      <c r="P1238" s="9">
        <v>44133.0</v>
      </c>
      <c r="Q1238" s="10">
        <v>0.03472222221898846</v>
      </c>
      <c r="R1238" s="11" t="str">
        <f t="shared" si="1"/>
        <v>Создание программы для AOI SEC</v>
      </c>
      <c r="S1238" s="16" t="str">
        <f>iferror(VLOOKUP(C1238,'ФИО'!A:B,2,0),"учётный код не найден")</f>
        <v>Муртищева Ольга Валентиновна</v>
      </c>
      <c r="T1238" s="11" t="str">
        <f t="shared" si="2"/>
        <v>915-00121.A - Процессорный модуль РСЕН.469555.027 (КНС Групп)</v>
      </c>
      <c r="U1238" s="8">
        <v>0.0</v>
      </c>
      <c r="V1238" s="8">
        <v>0.0</v>
      </c>
      <c r="W1238" s="17" t="str">
        <f t="shared" si="131"/>
        <v>Данные не заполены</v>
      </c>
      <c r="X1238" s="14" t="str">
        <f t="shared" si="123"/>
        <v>Данные не заполены</v>
      </c>
      <c r="Y1238" s="15">
        <f t="shared" si="124"/>
        <v>0</v>
      </c>
    </row>
    <row r="1239" hidden="1">
      <c r="A1239" s="7">
        <v>44118.80312390046</v>
      </c>
      <c r="B1239" s="8" t="s">
        <v>127</v>
      </c>
      <c r="C1239" s="8">
        <v>21171.0</v>
      </c>
      <c r="D1239" s="8" t="s">
        <v>27</v>
      </c>
      <c r="E1239" s="8" t="s">
        <v>168</v>
      </c>
      <c r="G1239" s="8">
        <v>3622.0</v>
      </c>
      <c r="H1239" s="8" t="s">
        <v>29</v>
      </c>
      <c r="I1239" s="8" t="s">
        <v>90</v>
      </c>
      <c r="L1239" s="8" t="s">
        <v>31</v>
      </c>
      <c r="M1239" s="8" t="s">
        <v>283</v>
      </c>
      <c r="P1239" s="9">
        <v>44117.0</v>
      </c>
      <c r="Q1239" s="10">
        <v>0.125</v>
      </c>
      <c r="R1239" s="11" t="str">
        <f t="shared" si="1"/>
        <v>Создание программы для NPM</v>
      </c>
      <c r="S1239" s="22" t="s">
        <v>254</v>
      </c>
      <c r="T1239" s="11" t="str">
        <f t="shared" si="2"/>
        <v>915-00124.A - Tioga Pass_v1.1 (Гагар.ин)</v>
      </c>
      <c r="U1239" s="8">
        <v>0.0</v>
      </c>
      <c r="V1239" s="8">
        <v>0.0</v>
      </c>
      <c r="W1239" s="17" t="str">
        <f t="shared" si="131"/>
        <v>Данные не заполены</v>
      </c>
      <c r="X1239" s="14" t="str">
        <f t="shared" si="123"/>
        <v>Данные не заполены</v>
      </c>
      <c r="Y1239" s="15">
        <f t="shared" si="124"/>
        <v>0</v>
      </c>
    </row>
    <row r="1240" hidden="1">
      <c r="A1240" s="7">
        <v>44118.80834106481</v>
      </c>
      <c r="B1240" s="8" t="s">
        <v>127</v>
      </c>
      <c r="C1240" s="8">
        <v>21171.0</v>
      </c>
      <c r="D1240" s="8" t="s">
        <v>27</v>
      </c>
      <c r="E1240" s="8" t="s">
        <v>168</v>
      </c>
      <c r="G1240" s="8">
        <v>3622.0</v>
      </c>
      <c r="H1240" s="8" t="s">
        <v>29</v>
      </c>
      <c r="I1240" s="8" t="s">
        <v>90</v>
      </c>
      <c r="L1240" s="8" t="s">
        <v>31</v>
      </c>
      <c r="M1240" s="8" t="s">
        <v>283</v>
      </c>
      <c r="P1240" s="9">
        <v>44117.0</v>
      </c>
      <c r="Q1240" s="10">
        <v>0.08333333333575865</v>
      </c>
      <c r="R1240" s="11" t="str">
        <f t="shared" si="1"/>
        <v>Создание программы для NPM</v>
      </c>
      <c r="S1240" s="22" t="s">
        <v>254</v>
      </c>
      <c r="T1240" s="11" t="str">
        <f t="shared" si="2"/>
        <v>915-00124.A - Tioga Pass_v1.1 (Гагар.ин)</v>
      </c>
      <c r="U1240" s="8">
        <v>0.0</v>
      </c>
      <c r="V1240" s="8">
        <v>0.0</v>
      </c>
      <c r="W1240" s="17" t="str">
        <f t="shared" si="131"/>
        <v>Данные не заполены</v>
      </c>
      <c r="X1240" s="14" t="str">
        <f t="shared" si="123"/>
        <v>Данные не заполены</v>
      </c>
      <c r="Y1240" s="15">
        <f t="shared" si="124"/>
        <v>0</v>
      </c>
    </row>
    <row r="1241" hidden="1">
      <c r="A1241" s="7">
        <v>44109.35809528935</v>
      </c>
      <c r="B1241" s="8" t="s">
        <v>127</v>
      </c>
      <c r="C1241" s="8">
        <v>21171.0</v>
      </c>
      <c r="D1241" s="8" t="s">
        <v>27</v>
      </c>
      <c r="E1241" s="8" t="s">
        <v>109</v>
      </c>
      <c r="G1241" s="8">
        <v>3706.0</v>
      </c>
      <c r="H1241" s="8" t="s">
        <v>45</v>
      </c>
      <c r="K1241" s="8" t="s">
        <v>91</v>
      </c>
      <c r="L1241" s="8" t="s">
        <v>31</v>
      </c>
      <c r="M1241" s="8" t="s">
        <v>34</v>
      </c>
      <c r="N1241" s="8"/>
      <c r="O1241" s="8"/>
      <c r="P1241" s="9">
        <v>44108.0</v>
      </c>
      <c r="Q1241" s="10">
        <v>0.020833333335758653</v>
      </c>
      <c r="R1241" s="11" t="str">
        <f t="shared" si="1"/>
        <v>Установка компонентов вручную</v>
      </c>
      <c r="S1241" s="16" t="str">
        <f>iferror(VLOOKUP(C1241,'ФИО'!A:B,2,0),"учётный код не найден")</f>
        <v>Муртищева Ольга Валентиновна</v>
      </c>
      <c r="T1241" s="11" t="str">
        <f t="shared" si="2"/>
        <v>ПУ Сигма 10/15 910-00080.D</v>
      </c>
      <c r="U1241" s="8">
        <v>0.0</v>
      </c>
      <c r="V1241" s="8">
        <v>0.0</v>
      </c>
      <c r="W1241" s="21" t="str">
        <f t="shared" si="131"/>
        <v>Данные не заполены</v>
      </c>
      <c r="X1241" s="15" t="str">
        <f t="shared" si="123"/>
        <v>Данные не заполены</v>
      </c>
      <c r="Y1241" s="15">
        <f t="shared" si="124"/>
        <v>0</v>
      </c>
    </row>
    <row r="1242" hidden="1">
      <c r="A1242" s="7">
        <v>44118.81138034722</v>
      </c>
      <c r="B1242" s="8" t="s">
        <v>127</v>
      </c>
      <c r="C1242" s="8">
        <v>21171.0</v>
      </c>
      <c r="D1242" s="8" t="s">
        <v>27</v>
      </c>
      <c r="E1242" s="8" t="s">
        <v>109</v>
      </c>
      <c r="G1242" s="8">
        <v>3622.0</v>
      </c>
      <c r="H1242" s="8" t="s">
        <v>29</v>
      </c>
      <c r="I1242" s="8" t="s">
        <v>90</v>
      </c>
      <c r="L1242" s="8" t="s">
        <v>31</v>
      </c>
      <c r="M1242" s="8" t="s">
        <v>34</v>
      </c>
      <c r="P1242" s="9">
        <v>44117.0</v>
      </c>
      <c r="Q1242" s="10">
        <v>0.020833333335758653</v>
      </c>
      <c r="R1242" s="11" t="str">
        <f t="shared" si="1"/>
        <v>Установка компонентов вручную</v>
      </c>
      <c r="S1242" s="22" t="s">
        <v>254</v>
      </c>
      <c r="T1242" s="11" t="str">
        <f t="shared" si="2"/>
        <v>915-00124.A - Tioga Pass_v1.1 (Гагар.ин)</v>
      </c>
      <c r="U1242" s="8">
        <v>0.0</v>
      </c>
      <c r="V1242" s="8">
        <v>0.0</v>
      </c>
      <c r="W1242" s="17" t="str">
        <f t="shared" si="131"/>
        <v>Данные не заполены</v>
      </c>
      <c r="X1242" s="14" t="str">
        <f t="shared" si="123"/>
        <v>Данные не заполены</v>
      </c>
      <c r="Y1242" s="15">
        <f t="shared" si="124"/>
        <v>0</v>
      </c>
    </row>
    <row r="1243" hidden="1">
      <c r="A1243" s="7">
        <v>44133.83465989583</v>
      </c>
      <c r="B1243" s="8" t="s">
        <v>127</v>
      </c>
      <c r="C1243" s="8">
        <v>21171.0</v>
      </c>
      <c r="D1243" s="8" t="s">
        <v>27</v>
      </c>
      <c r="E1243" s="8" t="s">
        <v>62</v>
      </c>
      <c r="G1243" s="8">
        <v>3802.0</v>
      </c>
      <c r="H1243" s="8" t="s">
        <v>45</v>
      </c>
      <c r="K1243" s="8" t="s">
        <v>120</v>
      </c>
      <c r="L1243" s="8" t="s">
        <v>31</v>
      </c>
      <c r="M1243" s="8" t="s">
        <v>34</v>
      </c>
      <c r="P1243" s="9">
        <v>44133.0</v>
      </c>
      <c r="Q1243" s="10">
        <v>0.006944444445252884</v>
      </c>
      <c r="R1243" s="11" t="str">
        <f t="shared" si="1"/>
        <v>ReviewStation pri</v>
      </c>
      <c r="S1243" s="16" t="str">
        <f>iferror(VLOOKUP(C1243,'ФИО'!A:B,2,0),"учётный код не найден")</f>
        <v>Муртищева Ольга Валентиновна</v>
      </c>
      <c r="T1243" s="11" t="str">
        <f t="shared" si="2"/>
        <v>М15ECO (900-00030.С) 910-00034.C/910-00041.C</v>
      </c>
      <c r="U1243" s="8">
        <v>21.0</v>
      </c>
      <c r="V1243" s="8">
        <v>19.0</v>
      </c>
      <c r="W1243" s="17" t="str">
        <f t="shared" si="131"/>
        <v>Данные не заполены</v>
      </c>
      <c r="X1243" s="14" t="str">
        <f t="shared" si="123"/>
        <v>Данные не заполены</v>
      </c>
      <c r="Y1243" s="15">
        <f t="shared" si="124"/>
        <v>0.9047619048</v>
      </c>
    </row>
    <row r="1244" hidden="1">
      <c r="A1244" s="7">
        <v>44121.824529895835</v>
      </c>
      <c r="B1244" s="8" t="s">
        <v>26</v>
      </c>
      <c r="C1244" s="8">
        <v>21475.0</v>
      </c>
      <c r="D1244" s="8" t="s">
        <v>27</v>
      </c>
      <c r="E1244" s="8" t="s">
        <v>256</v>
      </c>
      <c r="G1244" s="8">
        <v>3754.0</v>
      </c>
      <c r="H1244" s="8" t="s">
        <v>45</v>
      </c>
      <c r="K1244" s="8" t="s">
        <v>124</v>
      </c>
      <c r="L1244" s="8" t="s">
        <v>31</v>
      </c>
      <c r="M1244" s="8" t="s">
        <v>34</v>
      </c>
      <c r="P1244" s="9">
        <v>44121.0</v>
      </c>
      <c r="Q1244" s="10">
        <v>0.020833333335758653</v>
      </c>
      <c r="R1244" s="11" t="str">
        <f t="shared" si="1"/>
        <v>Сортировка</v>
      </c>
      <c r="S1244" s="16" t="str">
        <f>iferror(VLOOKUP(C1244,'ФИО'!A:B,2,0),"учётный код не найден")</f>
        <v>Байрамашвили Альберт Зурабович</v>
      </c>
      <c r="T1244" s="13" t="str">
        <f t="shared" si="2"/>
        <v>ПУ 910-00120.D - Печатный узел модуля 2CAN+LIN</v>
      </c>
      <c r="U1244" s="8">
        <v>0.0</v>
      </c>
      <c r="V1244" s="8">
        <v>0.0</v>
      </c>
      <c r="W1244" s="17" t="str">
        <f t="shared" si="131"/>
        <v>Данные не заполены</v>
      </c>
      <c r="X1244" s="14" t="str">
        <f t="shared" si="123"/>
        <v>Данные не заполены</v>
      </c>
      <c r="Y1244" s="15">
        <f t="shared" si="124"/>
        <v>0</v>
      </c>
    </row>
    <row r="1245" hidden="1">
      <c r="A1245" s="7">
        <v>44129.830883738425</v>
      </c>
      <c r="B1245" s="8" t="s">
        <v>26</v>
      </c>
      <c r="C1245" s="8">
        <v>21475.0</v>
      </c>
      <c r="D1245" s="8" t="s">
        <v>27</v>
      </c>
      <c r="E1245" s="8" t="s">
        <v>256</v>
      </c>
      <c r="G1245" s="8">
        <v>3804.0</v>
      </c>
      <c r="H1245" s="8" t="s">
        <v>45</v>
      </c>
      <c r="K1245" s="8" t="s">
        <v>52</v>
      </c>
      <c r="L1245" s="8" t="s">
        <v>31</v>
      </c>
      <c r="M1245" s="8" t="s">
        <v>34</v>
      </c>
      <c r="P1245" s="9">
        <v>44129.0</v>
      </c>
      <c r="Q1245" s="10">
        <v>0.04166666666424135</v>
      </c>
      <c r="R1245" s="11" t="str">
        <f t="shared" si="1"/>
        <v>Сортировка</v>
      </c>
      <c r="S1245" s="12" t="str">
        <f>iferror(VLOOKUP(C1245,'ФИО'!A:B,2,0),"учётный код не найден")</f>
        <v>Байрамашвили Альберт Зурабович</v>
      </c>
      <c r="T1245" s="13" t="str">
        <f t="shared" si="2"/>
        <v>М17V2 (900-00018.D)_910-00023.H и ПУ 910-00012.I</v>
      </c>
      <c r="U1245" s="8">
        <v>0.0</v>
      </c>
      <c r="V1245" s="8">
        <v>0.0</v>
      </c>
      <c r="X1245" s="14" t="str">
        <f t="shared" si="123"/>
        <v>Данные не заполены</v>
      </c>
      <c r="Y1245" s="15">
        <f t="shared" si="124"/>
        <v>0</v>
      </c>
    </row>
    <row r="1246" hidden="1">
      <c r="A1246" s="7">
        <v>44129.83390456019</v>
      </c>
      <c r="B1246" s="8" t="s">
        <v>26</v>
      </c>
      <c r="C1246" s="8">
        <v>21475.0</v>
      </c>
      <c r="D1246" s="8" t="s">
        <v>27</v>
      </c>
      <c r="E1246" s="8" t="s">
        <v>256</v>
      </c>
      <c r="G1246" s="8">
        <v>3804.0</v>
      </c>
      <c r="H1246" s="8" t="s">
        <v>45</v>
      </c>
      <c r="K1246" s="8" t="s">
        <v>52</v>
      </c>
      <c r="L1246" s="8" t="s">
        <v>31</v>
      </c>
      <c r="M1246" s="8" t="s">
        <v>34</v>
      </c>
      <c r="P1246" s="9">
        <v>44129.0</v>
      </c>
      <c r="Q1246" s="10">
        <v>0.04166666666424135</v>
      </c>
      <c r="R1246" s="11" t="str">
        <f t="shared" si="1"/>
        <v>Сортировка</v>
      </c>
      <c r="S1246" s="12" t="str">
        <f>iferror(VLOOKUP(C1246,'ФИО'!A:B,2,0),"учётный код не найден")</f>
        <v>Байрамашвили Альберт Зурабович</v>
      </c>
      <c r="T1246" s="13" t="str">
        <f t="shared" si="2"/>
        <v>М17V2 (900-00018.D)_910-00023.H и ПУ 910-00012.I</v>
      </c>
      <c r="U1246" s="8">
        <v>0.0</v>
      </c>
      <c r="V1246" s="8">
        <v>0.0</v>
      </c>
      <c r="X1246" s="14" t="str">
        <f t="shared" si="123"/>
        <v>Данные не заполены</v>
      </c>
      <c r="Y1246" s="15">
        <f t="shared" si="124"/>
        <v>0</v>
      </c>
    </row>
    <row r="1247" hidden="1">
      <c r="A1247" s="7">
        <v>44132.314343391205</v>
      </c>
      <c r="B1247" s="8" t="s">
        <v>38</v>
      </c>
      <c r="C1247" s="8">
        <v>21475.0</v>
      </c>
      <c r="D1247" s="8" t="s">
        <v>69</v>
      </c>
      <c r="F1247" s="8" t="s">
        <v>284</v>
      </c>
      <c r="G1247" s="8">
        <v>3253.0</v>
      </c>
      <c r="H1247" s="8" t="s">
        <v>29</v>
      </c>
      <c r="I1247" s="8" t="s">
        <v>95</v>
      </c>
      <c r="L1247" s="8" t="s">
        <v>31</v>
      </c>
      <c r="M1247" s="8" t="s">
        <v>34</v>
      </c>
      <c r="P1247" s="9">
        <v>44131.0</v>
      </c>
      <c r="Q1247" s="10">
        <v>0.04166666666424135</v>
      </c>
      <c r="R1247" s="11" t="str">
        <f t="shared" si="1"/>
        <v>Установка винтов</v>
      </c>
      <c r="S1247" s="12" t="str">
        <f>iferror(VLOOKUP(C1247,'ФИО'!A:B,2,0),"учётный код не найден")</f>
        <v>Байрамашвили Альберт Зурабович</v>
      </c>
      <c r="T1247" s="13" t="str">
        <f t="shared" si="2"/>
        <v>915-00095.A - ПКД-8В-1 АСЛБ.467249.108 (Квант)</v>
      </c>
      <c r="U1247" s="8">
        <v>40.0</v>
      </c>
      <c r="V1247" s="8">
        <v>0.0</v>
      </c>
      <c r="X1247" s="14" t="str">
        <f t="shared" si="123"/>
        <v>Данные не заполены</v>
      </c>
      <c r="Y1247" s="15">
        <f t="shared" si="124"/>
        <v>0</v>
      </c>
    </row>
    <row r="1248" hidden="1">
      <c r="A1248" s="7">
        <v>44108.32893175926</v>
      </c>
      <c r="B1248" s="8" t="s">
        <v>38</v>
      </c>
      <c r="C1248" s="8">
        <v>21803.0</v>
      </c>
      <c r="D1248" s="8" t="s">
        <v>27</v>
      </c>
      <c r="E1248" s="8" t="s">
        <v>244</v>
      </c>
      <c r="G1248" s="8">
        <v>3579.0</v>
      </c>
      <c r="H1248" s="8" t="s">
        <v>29</v>
      </c>
      <c r="I1248" s="8" t="s">
        <v>42</v>
      </c>
      <c r="L1248" s="8" t="s">
        <v>31</v>
      </c>
      <c r="M1248" s="8" t="s">
        <v>34</v>
      </c>
      <c r="N1248" s="8"/>
      <c r="O1248" s="8"/>
      <c r="P1248" s="9">
        <v>44107.0</v>
      </c>
      <c r="Q1248" s="10">
        <v>0.020833333335758653</v>
      </c>
      <c r="R1248" s="11" t="str">
        <f t="shared" si="1"/>
        <v>ReviewStation sec</v>
      </c>
      <c r="S1248" s="16" t="str">
        <f>iferror(VLOOKUP(C1248,'ФИО'!A:B,2,0),"учётный код не найден")</f>
        <v>Белоглазова Виктория Сергеевна</v>
      </c>
      <c r="T1248" s="13" t="str">
        <f t="shared" si="2"/>
        <v>915-00070.A - Модуль телематики ТМ1 v3 (Сознательные машины)</v>
      </c>
      <c r="U1248" s="8">
        <v>0.0</v>
      </c>
      <c r="V1248" s="8">
        <v>50.0</v>
      </c>
      <c r="W1248" s="21" t="str">
        <f>IFERROR((((38412/(ifs(O1248&lt;35,35,O1248&gt;34,O1248)/N1248)*0.7))),"Данные не заполены")</f>
        <v>Данные не заполены</v>
      </c>
      <c r="X1248" s="15" t="str">
        <f t="shared" si="123"/>
        <v>Данные не заполены</v>
      </c>
      <c r="Y1248" s="15">
        <f t="shared" si="124"/>
        <v>50</v>
      </c>
      <c r="Z1248" s="8" t="s">
        <v>64</v>
      </c>
    </row>
    <row r="1249" hidden="1">
      <c r="A1249" s="7">
        <v>44124.320212962964</v>
      </c>
      <c r="B1249" s="8" t="s">
        <v>38</v>
      </c>
      <c r="C1249" s="8">
        <v>21803.0</v>
      </c>
      <c r="D1249" s="8" t="s">
        <v>27</v>
      </c>
      <c r="E1249" s="8" t="s">
        <v>244</v>
      </c>
      <c r="G1249" s="8">
        <v>3754.0</v>
      </c>
      <c r="H1249" s="8" t="s">
        <v>45</v>
      </c>
      <c r="K1249" s="8" t="s">
        <v>124</v>
      </c>
      <c r="L1249" s="8" t="s">
        <v>31</v>
      </c>
      <c r="M1249" s="8" t="s">
        <v>34</v>
      </c>
      <c r="P1249" s="9">
        <v>44123.0</v>
      </c>
      <c r="Q1249" s="10">
        <v>0.20833333333575865</v>
      </c>
      <c r="R1249" s="11" t="str">
        <f t="shared" si="1"/>
        <v>ReviewStation sec</v>
      </c>
      <c r="S1249" s="16" t="str">
        <f>iferror(VLOOKUP(C1249,'ФИО'!A:B,2,0),"учётный код не найден")</f>
        <v>Белоглазова Виктория Сергеевна</v>
      </c>
      <c r="T1249" s="13" t="str">
        <f t="shared" si="2"/>
        <v>ПУ 910-00120.D - Печатный узел модуля 2CAN+LIN</v>
      </c>
      <c r="U1249" s="8">
        <v>0.0</v>
      </c>
      <c r="V1249" s="8">
        <v>4500.0</v>
      </c>
      <c r="X1249" s="14" t="str">
        <f t="shared" si="123"/>
        <v>Данные не заполены</v>
      </c>
      <c r="Y1249" s="15">
        <f t="shared" si="124"/>
        <v>4500</v>
      </c>
      <c r="Z1249" s="8" t="s">
        <v>64</v>
      </c>
    </row>
    <row r="1250" hidden="1">
      <c r="A1250" s="7">
        <v>44128.82545266204</v>
      </c>
      <c r="B1250" s="8" t="s">
        <v>26</v>
      </c>
      <c r="C1250" s="8">
        <v>21752.0</v>
      </c>
      <c r="D1250" s="8" t="s">
        <v>27</v>
      </c>
      <c r="E1250" s="8" t="s">
        <v>88</v>
      </c>
      <c r="G1250" s="8">
        <v>3804.0</v>
      </c>
      <c r="H1250" s="8" t="s">
        <v>45</v>
      </c>
      <c r="K1250" s="8" t="s">
        <v>52</v>
      </c>
      <c r="L1250" s="8" t="s">
        <v>37</v>
      </c>
      <c r="P1250" s="9">
        <v>44128.0</v>
      </c>
      <c r="Q1250" s="10">
        <v>0.08333333333575865</v>
      </c>
      <c r="R1250" s="11" t="str">
        <f t="shared" si="1"/>
        <v>Сборка на линии Sec</v>
      </c>
      <c r="S1250" s="16" t="str">
        <f>iferror(VLOOKUP(C1250,'ФИО'!A:B,2,0),"учётный код не найден")</f>
        <v>Егоров Александр Александрович</v>
      </c>
      <c r="T1250" s="13" t="str">
        <f t="shared" si="2"/>
        <v>М17V2 (900-00018.D)_910-00023.H и ПУ 910-00012.I</v>
      </c>
      <c r="U1250" s="8">
        <v>0.0</v>
      </c>
      <c r="V1250" s="8">
        <v>0.0</v>
      </c>
      <c r="X1250" s="14" t="str">
        <f t="shared" si="123"/>
        <v>Данные не заполены</v>
      </c>
      <c r="Y1250" s="15">
        <f t="shared" si="124"/>
        <v>0</v>
      </c>
    </row>
    <row r="1251" hidden="1">
      <c r="A1251" s="7">
        <v>44105.83160135416</v>
      </c>
      <c r="B1251" s="8" t="s">
        <v>26</v>
      </c>
      <c r="C1251" s="8">
        <v>21752.0</v>
      </c>
      <c r="D1251" s="18" t="s">
        <v>27</v>
      </c>
      <c r="E1251" s="8" t="s">
        <v>285</v>
      </c>
      <c r="G1251" s="18">
        <v>3047.0</v>
      </c>
      <c r="H1251" s="8" t="s">
        <v>29</v>
      </c>
      <c r="I1251" s="8" t="s">
        <v>77</v>
      </c>
      <c r="L1251" s="18" t="s">
        <v>31</v>
      </c>
      <c r="M1251" s="8" t="s">
        <v>34</v>
      </c>
      <c r="N1251" s="8"/>
      <c r="O1251" s="8"/>
      <c r="P1251" s="19">
        <v>44105.0</v>
      </c>
      <c r="Q1251" s="20">
        <v>0.010416666664241347</v>
      </c>
      <c r="R1251" s="13" t="str">
        <f t="shared" si="1"/>
        <v>Сканирование заготовок ("Завершение стадии")</v>
      </c>
      <c r="S1251" s="16" t="str">
        <f>iferror(VLOOKUP(C1251,'ФИО'!A:B,2,0),"учётный код не найден")</f>
        <v>Егоров Александр Александрович</v>
      </c>
      <c r="T1251" s="13" t="str">
        <f t="shared" si="2"/>
        <v>915-00081.A-Модуль Трик8 (Кибертех)</v>
      </c>
      <c r="U1251" s="8">
        <v>0.0</v>
      </c>
      <c r="V1251" s="8">
        <v>0.0</v>
      </c>
      <c r="W1251" s="21" t="str">
        <f>IFERROR((((38412/(ifs(O1251&lt;35,35,O1251&gt;34,O1251)/N1251)*0.7))),"Данные не заполены")</f>
        <v>Данные не заполены</v>
      </c>
      <c r="X1251" s="15" t="str">
        <f t="shared" si="123"/>
        <v>Данные не заполены</v>
      </c>
      <c r="Y1251" s="15">
        <f t="shared" si="124"/>
        <v>0</v>
      </c>
    </row>
    <row r="1252" hidden="1">
      <c r="A1252" s="7">
        <v>44129.83068918981</v>
      </c>
      <c r="B1252" s="8" t="s">
        <v>26</v>
      </c>
      <c r="C1252" s="8">
        <v>21752.0</v>
      </c>
      <c r="D1252" s="8" t="s">
        <v>27</v>
      </c>
      <c r="E1252" s="8" t="s">
        <v>109</v>
      </c>
      <c r="G1252" s="8">
        <v>3621.0</v>
      </c>
      <c r="H1252" s="8" t="s">
        <v>29</v>
      </c>
      <c r="I1252" s="8" t="s">
        <v>30</v>
      </c>
      <c r="L1252" s="8" t="s">
        <v>31</v>
      </c>
      <c r="M1252" s="8" t="s">
        <v>34</v>
      </c>
      <c r="P1252" s="9">
        <v>44129.0</v>
      </c>
      <c r="Q1252" s="10">
        <v>0.08333333333575865</v>
      </c>
      <c r="R1252" s="11" t="str">
        <f t="shared" si="1"/>
        <v>Установка компонентов вручную</v>
      </c>
      <c r="S1252" s="12" t="str">
        <f>iferror(VLOOKUP(C1252,'ФИО'!A:B,2,0),"учётный код не найден")</f>
        <v>Егоров Александр Александрович</v>
      </c>
      <c r="T1252" s="13" t="str">
        <f t="shared" si="2"/>
        <v>915-00121.A - Процессорный модуль РСЕН.469555.027 (КНС Групп) в ТС</v>
      </c>
      <c r="U1252" s="8">
        <v>0.0</v>
      </c>
      <c r="V1252" s="8">
        <v>0.0</v>
      </c>
      <c r="X1252" s="14" t="str">
        <f t="shared" si="123"/>
        <v>Данные не заполены</v>
      </c>
      <c r="Y1252" s="15">
        <f t="shared" si="124"/>
        <v>0</v>
      </c>
    </row>
    <row r="1253" hidden="1">
      <c r="A1253" s="7">
        <v>44128.78455814815</v>
      </c>
      <c r="B1253" s="8" t="s">
        <v>26</v>
      </c>
      <c r="C1253" s="8">
        <v>20015.0</v>
      </c>
      <c r="D1253" s="8" t="s">
        <v>69</v>
      </c>
      <c r="F1253" s="8" t="s">
        <v>103</v>
      </c>
      <c r="G1253" s="8">
        <v>3253.0</v>
      </c>
      <c r="H1253" s="8" t="s">
        <v>29</v>
      </c>
      <c r="I1253" s="8" t="s">
        <v>95</v>
      </c>
      <c r="L1253" s="8" t="s">
        <v>37</v>
      </c>
      <c r="P1253" s="9">
        <v>44128.0</v>
      </c>
      <c r="Q1253" s="10">
        <v>0.04166666666424135</v>
      </c>
      <c r="R1253" s="11" t="str">
        <f t="shared" si="1"/>
        <v>Проверка на АОИ PRI</v>
      </c>
      <c r="S1253" s="16" t="str">
        <f>iferror(VLOOKUP(C1253,'ФИО'!A:B,2,0),"учётный код не найден")</f>
        <v>Ельцов Андрей Николаевич</v>
      </c>
      <c r="T1253" s="13" t="str">
        <f t="shared" si="2"/>
        <v>915-00095.A - ПКД-8В-1 АСЛБ.467249.108 (Квант)</v>
      </c>
      <c r="U1253" s="8">
        <v>46.0</v>
      </c>
      <c r="V1253" s="8">
        <v>1.0</v>
      </c>
      <c r="X1253" s="14" t="str">
        <f t="shared" si="123"/>
        <v>Данные не заполены</v>
      </c>
      <c r="Y1253" s="15">
        <f t="shared" si="124"/>
        <v>0.02173913043</v>
      </c>
    </row>
    <row r="1254" hidden="1">
      <c r="A1254" s="7">
        <v>44119.65245</v>
      </c>
      <c r="B1254" s="8" t="s">
        <v>89</v>
      </c>
      <c r="C1254" s="8">
        <v>20015.0</v>
      </c>
      <c r="D1254" s="8" t="s">
        <v>69</v>
      </c>
      <c r="F1254" s="8" t="s">
        <v>81</v>
      </c>
      <c r="G1254" s="8">
        <v>3234.0</v>
      </c>
      <c r="H1254" s="8" t="s">
        <v>29</v>
      </c>
      <c r="I1254" s="8" t="s">
        <v>135</v>
      </c>
      <c r="L1254" s="8" t="s">
        <v>31</v>
      </c>
      <c r="M1254" s="8" t="s">
        <v>215</v>
      </c>
      <c r="P1254" s="9">
        <v>44119.0</v>
      </c>
      <c r="Q1254" s="10">
        <v>0.020833333335758653</v>
      </c>
      <c r="R1254" s="11" t="str">
        <f t="shared" si="1"/>
        <v>Проверка на АОИ SEC</v>
      </c>
      <c r="S1254" s="16" t="str">
        <f>iferror(VLOOKUP(C1254,'ФИО'!A:B,2,0),"учётный код не найден")</f>
        <v>Ельцов Андрей Николаевич</v>
      </c>
      <c r="T1254" s="13" t="str">
        <f t="shared" si="2"/>
        <v>915-00101.A - ПКД-9В АСЛБ.467249.107 (Квант)</v>
      </c>
      <c r="U1254" s="8">
        <v>10.0</v>
      </c>
      <c r="V1254" s="8">
        <v>0.0</v>
      </c>
      <c r="W1254" s="17" t="str">
        <f t="shared" ref="W1254:W1255" si="132">IFERROR((((38412/(ifs(O1254&lt;35,35,O1254&gt;34,O1254)/N1254)*0.7))),"Данные не заполены")</f>
        <v>Данные не заполены</v>
      </c>
      <c r="X1254" s="14" t="str">
        <f t="shared" si="123"/>
        <v>Данные не заполены</v>
      </c>
      <c r="Y1254" s="15">
        <f t="shared" si="124"/>
        <v>0</v>
      </c>
    </row>
    <row r="1255" hidden="1">
      <c r="A1255" s="7">
        <v>44133.83806618056</v>
      </c>
      <c r="B1255" s="8" t="s">
        <v>127</v>
      </c>
      <c r="C1255" s="8">
        <v>21171.0</v>
      </c>
      <c r="D1255" s="8" t="s">
        <v>27</v>
      </c>
      <c r="E1255" s="8" t="s">
        <v>244</v>
      </c>
      <c r="G1255" s="8">
        <v>3802.0</v>
      </c>
      <c r="H1255" s="8" t="s">
        <v>45</v>
      </c>
      <c r="K1255" s="8" t="s">
        <v>120</v>
      </c>
      <c r="L1255" s="8" t="s">
        <v>31</v>
      </c>
      <c r="M1255" s="8" t="s">
        <v>34</v>
      </c>
      <c r="P1255" s="9">
        <v>44133.0</v>
      </c>
      <c r="Q1255" s="10">
        <v>0.006944444445252884</v>
      </c>
      <c r="R1255" s="11" t="str">
        <f t="shared" si="1"/>
        <v>ReviewStation sec</v>
      </c>
      <c r="S1255" s="16" t="str">
        <f>iferror(VLOOKUP(C1255,'ФИО'!A:B,2,0),"учётный код не найден")</f>
        <v>Муртищева Ольга Валентиновна</v>
      </c>
      <c r="T1255" s="11" t="str">
        <f t="shared" si="2"/>
        <v>М15ECO (900-00030.С) 910-00034.C/910-00041.C</v>
      </c>
      <c r="U1255" s="8">
        <v>17.0</v>
      </c>
      <c r="V1255" s="8">
        <v>23.0</v>
      </c>
      <c r="W1255" s="17" t="str">
        <f t="shared" si="132"/>
        <v>Данные не заполены</v>
      </c>
      <c r="X1255" s="14" t="str">
        <f t="shared" si="123"/>
        <v>Данные не заполены</v>
      </c>
      <c r="Y1255" s="15">
        <f t="shared" si="124"/>
        <v>1.352941176</v>
      </c>
    </row>
    <row r="1256" hidden="1">
      <c r="A1256" s="7">
        <v>44125.315804108795</v>
      </c>
      <c r="B1256" s="8" t="s">
        <v>38</v>
      </c>
      <c r="C1256" s="8">
        <v>21522.0</v>
      </c>
      <c r="D1256" s="8" t="s">
        <v>27</v>
      </c>
      <c r="E1256" s="8" t="s">
        <v>68</v>
      </c>
      <c r="L1256" s="8" t="s">
        <v>31</v>
      </c>
      <c r="M1256" s="8" t="s">
        <v>34</v>
      </c>
      <c r="P1256" s="9">
        <v>44124.0</v>
      </c>
      <c r="Q1256" s="10">
        <v>0.020833333335758653</v>
      </c>
      <c r="R1256" s="11" t="str">
        <f t="shared" si="1"/>
        <v>Прохождение обучения</v>
      </c>
      <c r="S1256" s="16" t="str">
        <f>iferror(VLOOKUP(C1256,'ФИО'!A:B,2,0),"учётный код не найден")</f>
        <v>Исаев Никита Дмитриевич</v>
      </c>
      <c r="T1256" s="13" t="str">
        <f t="shared" si="2"/>
        <v/>
      </c>
      <c r="X1256" s="14" t="str">
        <f t="shared" si="123"/>
        <v>Данные не заполены</v>
      </c>
      <c r="Y1256" s="15">
        <f t="shared" si="124"/>
        <v>0</v>
      </c>
    </row>
    <row r="1257" hidden="1">
      <c r="A1257" s="7">
        <v>44121.82179775463</v>
      </c>
      <c r="B1257" s="8" t="s">
        <v>26</v>
      </c>
      <c r="C1257" s="8">
        <v>20751.0</v>
      </c>
      <c r="D1257" s="8" t="s">
        <v>27</v>
      </c>
      <c r="E1257" s="8" t="s">
        <v>67</v>
      </c>
      <c r="G1257" s="8">
        <v>3754.0</v>
      </c>
      <c r="H1257" s="8" t="s">
        <v>45</v>
      </c>
      <c r="K1257" s="8" t="s">
        <v>124</v>
      </c>
      <c r="L1257" s="8" t="s">
        <v>37</v>
      </c>
      <c r="P1257" s="9">
        <v>44121.0</v>
      </c>
      <c r="Q1257" s="10">
        <v>0.04166666666424135</v>
      </c>
      <c r="R1257" s="11" t="str">
        <f t="shared" si="1"/>
        <v>Сборка на линии Prim</v>
      </c>
      <c r="S1257" s="16" t="str">
        <f>iferror(VLOOKUP(C1257,'ФИО'!A:B,2,0),"учётный код не найден")</f>
        <v>Кезерев Виталий Романович</v>
      </c>
      <c r="T1257" s="13" t="str">
        <f t="shared" si="2"/>
        <v>ПУ 910-00120.D - Печатный узел модуля 2CAN+LIN</v>
      </c>
      <c r="U1257" s="8">
        <v>0.0</v>
      </c>
      <c r="V1257" s="8">
        <v>0.0</v>
      </c>
      <c r="W1257" s="17" t="str">
        <f t="shared" ref="W1257:W1258" si="133">IFERROR((((38412/(ifs(O1257&lt;35,35,O1257&gt;34,O1257)/N1257)*0.7))),"Данные не заполены")</f>
        <v>Данные не заполены</v>
      </c>
      <c r="X1257" s="14" t="str">
        <f t="shared" si="123"/>
        <v>Данные не заполены</v>
      </c>
      <c r="Y1257" s="15">
        <f t="shared" si="124"/>
        <v>0</v>
      </c>
    </row>
    <row r="1258" hidden="1">
      <c r="A1258" s="7">
        <v>44120.82991980324</v>
      </c>
      <c r="B1258" s="8" t="s">
        <v>26</v>
      </c>
      <c r="C1258" s="8">
        <v>20751.0</v>
      </c>
      <c r="D1258" s="8" t="s">
        <v>27</v>
      </c>
      <c r="E1258" s="8" t="s">
        <v>168</v>
      </c>
      <c r="G1258" s="8">
        <v>3754.0</v>
      </c>
      <c r="H1258" s="8" t="s">
        <v>45</v>
      </c>
      <c r="K1258" s="8" t="s">
        <v>124</v>
      </c>
      <c r="L1258" s="8" t="s">
        <v>31</v>
      </c>
      <c r="M1258" s="8" t="s">
        <v>34</v>
      </c>
      <c r="P1258" s="9">
        <v>44120.0</v>
      </c>
      <c r="Q1258" s="10">
        <v>0.020833333335758653</v>
      </c>
      <c r="R1258" s="11" t="str">
        <f t="shared" si="1"/>
        <v>Создание программы для NPM</v>
      </c>
      <c r="S1258" s="16" t="str">
        <f>iferror(VLOOKUP(C1258,'ФИО'!A:B,2,0),"учётный код не найден")</f>
        <v>Кезерев Виталий Романович</v>
      </c>
      <c r="T1258" s="13" t="str">
        <f t="shared" si="2"/>
        <v>ПУ 910-00120.D - Печатный узел модуля 2CAN+LIN</v>
      </c>
      <c r="U1258" s="8">
        <v>0.0</v>
      </c>
      <c r="V1258" s="8">
        <v>0.0</v>
      </c>
      <c r="W1258" s="17" t="str">
        <f t="shared" si="133"/>
        <v>Данные не заполены</v>
      </c>
      <c r="X1258" s="14" t="str">
        <f t="shared" si="123"/>
        <v>Данные не заполены</v>
      </c>
      <c r="Y1258" s="15">
        <f t="shared" si="124"/>
        <v>0</v>
      </c>
    </row>
    <row r="1259" hidden="1">
      <c r="A1259" s="7">
        <v>44125.33015393518</v>
      </c>
      <c r="B1259" s="8" t="s">
        <v>38</v>
      </c>
      <c r="C1259" s="8">
        <v>20751.0</v>
      </c>
      <c r="D1259" s="8" t="s">
        <v>27</v>
      </c>
      <c r="E1259" s="8" t="s">
        <v>168</v>
      </c>
      <c r="G1259" s="8">
        <v>3621.0</v>
      </c>
      <c r="H1259" s="8" t="s">
        <v>29</v>
      </c>
      <c r="I1259" s="8" t="s">
        <v>54</v>
      </c>
      <c r="L1259" s="8" t="s">
        <v>31</v>
      </c>
      <c r="M1259" s="8" t="s">
        <v>34</v>
      </c>
      <c r="P1259" s="9">
        <v>44124.0</v>
      </c>
      <c r="Q1259" s="10">
        <v>0.1875</v>
      </c>
      <c r="R1259" s="11" t="str">
        <f t="shared" si="1"/>
        <v>Создание программы для NPM</v>
      </c>
      <c r="S1259" s="16" t="str">
        <f>iferror(VLOOKUP(C1259,'ФИО'!A:B,2,0),"учётный код не найден")</f>
        <v>Кезерев Виталий Романович</v>
      </c>
      <c r="T1259" s="13" t="str">
        <f t="shared" si="2"/>
        <v>915-00121.A - Процессорный модуль РСЕН.469555.027 (КНС Групп)</v>
      </c>
      <c r="U1259" s="8">
        <v>0.0</v>
      </c>
      <c r="V1259" s="8">
        <v>0.0</v>
      </c>
      <c r="X1259" s="14" t="str">
        <f t="shared" si="123"/>
        <v>Данные не заполены</v>
      </c>
      <c r="Y1259" s="15">
        <f t="shared" si="124"/>
        <v>0</v>
      </c>
    </row>
    <row r="1260" hidden="1">
      <c r="A1260" s="7">
        <v>44128.80689128472</v>
      </c>
      <c r="B1260" s="8" t="s">
        <v>26</v>
      </c>
      <c r="C1260" s="8">
        <v>20751.0</v>
      </c>
      <c r="D1260" s="8" t="s">
        <v>27</v>
      </c>
      <c r="E1260" s="8" t="s">
        <v>168</v>
      </c>
      <c r="G1260" s="8">
        <v>3621.0</v>
      </c>
      <c r="H1260" s="8" t="s">
        <v>29</v>
      </c>
      <c r="I1260" s="8" t="s">
        <v>54</v>
      </c>
      <c r="L1260" s="8" t="s">
        <v>31</v>
      </c>
      <c r="M1260" s="8" t="s">
        <v>34</v>
      </c>
      <c r="P1260" s="9">
        <v>44128.0</v>
      </c>
      <c r="Q1260" s="10">
        <v>0.125</v>
      </c>
      <c r="R1260" s="11" t="str">
        <f t="shared" si="1"/>
        <v>Создание программы для NPM</v>
      </c>
      <c r="S1260" s="16" t="str">
        <f>iferror(VLOOKUP(C1260,'ФИО'!A:B,2,0),"учётный код не найден")</f>
        <v>Кезерев Виталий Романович</v>
      </c>
      <c r="T1260" s="13" t="str">
        <f t="shared" si="2"/>
        <v>915-00121.A - Процессорный модуль РСЕН.469555.027 (КНС Групп)</v>
      </c>
      <c r="U1260" s="8">
        <v>0.0</v>
      </c>
      <c r="V1260" s="8">
        <v>0.0</v>
      </c>
      <c r="X1260" s="14" t="str">
        <f t="shared" si="123"/>
        <v>Данные не заполены</v>
      </c>
      <c r="Y1260" s="15">
        <f t="shared" si="124"/>
        <v>0</v>
      </c>
    </row>
    <row r="1261" hidden="1">
      <c r="A1261" s="7">
        <v>44113.82945885417</v>
      </c>
      <c r="B1261" s="8" t="s">
        <v>26</v>
      </c>
      <c r="C1261" s="8">
        <v>22087.0</v>
      </c>
      <c r="D1261" s="8" t="s">
        <v>27</v>
      </c>
      <c r="E1261" s="8" t="s">
        <v>68</v>
      </c>
      <c r="L1261" s="8" t="s">
        <v>31</v>
      </c>
      <c r="M1261" s="8" t="s">
        <v>34</v>
      </c>
      <c r="N1261" s="8"/>
      <c r="O1261" s="8"/>
      <c r="P1261" s="9">
        <v>44113.0</v>
      </c>
      <c r="Q1261" s="10">
        <v>0.45833333333575865</v>
      </c>
      <c r="R1261" s="11" t="str">
        <f t="shared" si="1"/>
        <v>Прохождение обучения</v>
      </c>
      <c r="S1261" s="16" t="str">
        <f>iferror(VLOOKUP(C1261,'ФИО'!A:B,2,0),"учётный код не найден")</f>
        <v>Хохряков Илья Александрович</v>
      </c>
      <c r="T1261" s="13" t="str">
        <f t="shared" si="2"/>
        <v/>
      </c>
      <c r="W1261" s="21" t="str">
        <f t="shared" ref="W1261:W1281" si="134">IFERROR((((38412/(ifs(O1261&lt;35,35,O1261&gt;34,O1261)/N1261)*0.7))),"Данные не заполены")</f>
        <v>Данные не заполены</v>
      </c>
      <c r="X1261" s="15" t="str">
        <f t="shared" si="123"/>
        <v>Данные не заполены</v>
      </c>
      <c r="Y1261" s="15">
        <f t="shared" si="124"/>
        <v>0</v>
      </c>
    </row>
    <row r="1262" hidden="1">
      <c r="A1262" s="7">
        <v>44137.319964571754</v>
      </c>
      <c r="B1262" s="8" t="s">
        <v>126</v>
      </c>
      <c r="C1262" s="8">
        <v>21171.0</v>
      </c>
      <c r="D1262" s="8" t="s">
        <v>27</v>
      </c>
      <c r="E1262" s="8" t="s">
        <v>282</v>
      </c>
      <c r="G1262" s="8">
        <v>3621.0</v>
      </c>
      <c r="H1262" s="8" t="s">
        <v>29</v>
      </c>
      <c r="I1262" s="8" t="s">
        <v>54</v>
      </c>
      <c r="L1262" s="8" t="s">
        <v>31</v>
      </c>
      <c r="M1262" s="8" t="s">
        <v>34</v>
      </c>
      <c r="P1262" s="9">
        <v>44136.0</v>
      </c>
      <c r="Q1262" s="10">
        <v>0.33333333333575865</v>
      </c>
      <c r="R1262" s="11" t="str">
        <f t="shared" si="1"/>
        <v>Создание программы для AOI SEC</v>
      </c>
      <c r="S1262" s="16" t="str">
        <f>iferror(VLOOKUP(C1262,'ФИО'!A:B,2,0),"учётный код не найден")</f>
        <v>Муртищева Ольга Валентиновна</v>
      </c>
      <c r="T1262" s="11" t="str">
        <f t="shared" si="2"/>
        <v>915-00121.A - Процессорный модуль РСЕН.469555.027 (КНС Групп)</v>
      </c>
      <c r="U1262" s="8">
        <v>0.0</v>
      </c>
      <c r="V1262" s="8">
        <v>0.0</v>
      </c>
      <c r="W1262" s="17" t="str">
        <f t="shared" si="134"/>
        <v>Данные не заполены</v>
      </c>
      <c r="X1262" s="14" t="str">
        <f t="shared" si="123"/>
        <v>Данные не заполены</v>
      </c>
      <c r="Y1262" s="15">
        <f t="shared" si="124"/>
        <v>0</v>
      </c>
    </row>
    <row r="1263" hidden="1">
      <c r="A1263" s="7">
        <v>44137.32161182871</v>
      </c>
      <c r="B1263" s="8" t="s">
        <v>126</v>
      </c>
      <c r="C1263" s="8">
        <v>21171.0</v>
      </c>
      <c r="D1263" s="8" t="s">
        <v>27</v>
      </c>
      <c r="E1263" s="8" t="s">
        <v>67</v>
      </c>
      <c r="G1263" s="8">
        <v>3778.0</v>
      </c>
      <c r="H1263" s="8" t="s">
        <v>45</v>
      </c>
      <c r="K1263" s="8" t="s">
        <v>46</v>
      </c>
      <c r="L1263" s="8" t="s">
        <v>37</v>
      </c>
      <c r="P1263" s="9">
        <v>44136.0</v>
      </c>
      <c r="Q1263" s="10">
        <v>0.125</v>
      </c>
      <c r="R1263" s="11" t="str">
        <f t="shared" si="1"/>
        <v>Сборка на линии Prim</v>
      </c>
      <c r="S1263" s="16" t="str">
        <f>iferror(VLOOKUP(C1263,'ФИО'!A:B,2,0),"учётный код не найден")</f>
        <v>Муртищева Ольга Валентиновна</v>
      </c>
      <c r="T1263" s="11" t="str">
        <f t="shared" si="2"/>
        <v>ПУ 910-00349.A "Печатный узел основного блока E96 4LIN"</v>
      </c>
      <c r="U1263" s="8">
        <v>0.0</v>
      </c>
      <c r="V1263" s="8">
        <v>0.0</v>
      </c>
      <c r="W1263" s="17" t="str">
        <f t="shared" si="134"/>
        <v>Данные не заполены</v>
      </c>
      <c r="X1263" s="14" t="str">
        <f t="shared" si="123"/>
        <v>Данные не заполены</v>
      </c>
      <c r="Y1263" s="15">
        <f t="shared" si="124"/>
        <v>0</v>
      </c>
    </row>
    <row r="1264" hidden="1">
      <c r="A1264" s="7">
        <v>44132.753039131945</v>
      </c>
      <c r="B1264" s="8" t="s">
        <v>127</v>
      </c>
      <c r="C1264" s="8">
        <v>22721.0</v>
      </c>
      <c r="D1264" s="8" t="s">
        <v>27</v>
      </c>
      <c r="E1264" s="8" t="s">
        <v>68</v>
      </c>
      <c r="L1264" s="8" t="s">
        <v>31</v>
      </c>
      <c r="M1264" s="8" t="s">
        <v>34</v>
      </c>
      <c r="P1264" s="9">
        <v>44132.0</v>
      </c>
      <c r="Q1264" s="10">
        <v>0.33333333333575865</v>
      </c>
      <c r="R1264" s="11" t="str">
        <f t="shared" si="1"/>
        <v>Прохождение обучения</v>
      </c>
      <c r="S1264" s="16" t="str">
        <f>iferror(VLOOKUP(C1264,'ФИО'!A:B,2,0),"учётный код не найден")</f>
        <v>Заславский Антон Игоревич</v>
      </c>
      <c r="T1264" s="11" t="str">
        <f t="shared" si="2"/>
        <v/>
      </c>
      <c r="W1264" s="17" t="str">
        <f t="shared" si="134"/>
        <v>Данные не заполены</v>
      </c>
      <c r="X1264" s="14" t="str">
        <f t="shared" si="123"/>
        <v>Данные не заполены</v>
      </c>
      <c r="Y1264" s="15">
        <f t="shared" si="124"/>
        <v>0</v>
      </c>
    </row>
    <row r="1265" hidden="1">
      <c r="A1265" s="7">
        <v>44133.75955449074</v>
      </c>
      <c r="B1265" s="8" t="s">
        <v>127</v>
      </c>
      <c r="C1265" s="8">
        <v>22721.0</v>
      </c>
      <c r="D1265" s="8" t="s">
        <v>27</v>
      </c>
      <c r="E1265" s="8" t="s">
        <v>68</v>
      </c>
      <c r="L1265" s="8" t="s">
        <v>31</v>
      </c>
      <c r="M1265" s="8" t="s">
        <v>34</v>
      </c>
      <c r="P1265" s="9">
        <v>44133.0</v>
      </c>
      <c r="Q1265" s="10">
        <v>0.33333333333575865</v>
      </c>
      <c r="R1265" s="11" t="str">
        <f t="shared" si="1"/>
        <v>Прохождение обучения</v>
      </c>
      <c r="S1265" s="16" t="str">
        <f>iferror(VLOOKUP(C1265,'ФИО'!A:B,2,0),"учётный код не найден")</f>
        <v>Заславский Антон Игоревич</v>
      </c>
      <c r="T1265" s="11" t="str">
        <f t="shared" si="2"/>
        <v/>
      </c>
      <c r="W1265" s="17" t="str">
        <f t="shared" si="134"/>
        <v>Данные не заполены</v>
      </c>
      <c r="X1265" s="14" t="str">
        <f t="shared" si="123"/>
        <v>Данные не заполены</v>
      </c>
      <c r="Y1265" s="15">
        <f t="shared" si="124"/>
        <v>0</v>
      </c>
    </row>
    <row r="1266" hidden="1">
      <c r="A1266" s="7">
        <v>44113.30325327546</v>
      </c>
      <c r="B1266" s="8" t="s">
        <v>126</v>
      </c>
      <c r="C1266" s="8">
        <v>21171.0</v>
      </c>
      <c r="D1266" s="8" t="s">
        <v>27</v>
      </c>
      <c r="E1266" s="8" t="s">
        <v>67</v>
      </c>
      <c r="G1266" s="8">
        <v>3580.0</v>
      </c>
      <c r="H1266" s="8" t="s">
        <v>29</v>
      </c>
      <c r="I1266" s="8" t="s">
        <v>145</v>
      </c>
      <c r="L1266" s="8" t="s">
        <v>37</v>
      </c>
      <c r="P1266" s="9">
        <v>44111.0</v>
      </c>
      <c r="Q1266" s="10">
        <v>0.08333333333333333</v>
      </c>
      <c r="R1266" s="11" t="str">
        <f t="shared" si="1"/>
        <v>Сборка на линии Prim</v>
      </c>
      <c r="S1266" s="16" t="str">
        <f>iferror(VLOOKUP(C1266,'ФИО'!A:B,2,0),"учётный код не найден")</f>
        <v>Муртищева Ольга Валентиновна</v>
      </c>
      <c r="T1266" s="13" t="str">
        <f t="shared" si="2"/>
        <v>XR (OÜ KLARBERG)</v>
      </c>
      <c r="U1266" s="8">
        <v>0.0</v>
      </c>
      <c r="V1266" s="8">
        <v>0.0</v>
      </c>
      <c r="W1266" s="21" t="str">
        <f t="shared" si="134"/>
        <v>Данные не заполены</v>
      </c>
      <c r="X1266" s="15" t="str">
        <f t="shared" si="123"/>
        <v>Данные не заполены</v>
      </c>
      <c r="Y1266" s="15">
        <f t="shared" si="124"/>
        <v>0</v>
      </c>
    </row>
    <row r="1267" hidden="1">
      <c r="A1267" s="7">
        <v>44112.32272174768</v>
      </c>
      <c r="B1267" s="8" t="s">
        <v>126</v>
      </c>
      <c r="C1267" s="8">
        <v>22574.0</v>
      </c>
      <c r="D1267" s="8" t="s">
        <v>27</v>
      </c>
      <c r="E1267" s="8" t="s">
        <v>67</v>
      </c>
      <c r="G1267" s="8">
        <v>3580.0</v>
      </c>
      <c r="H1267" s="8" t="s">
        <v>29</v>
      </c>
      <c r="I1267" s="8" t="s">
        <v>145</v>
      </c>
      <c r="L1267" s="8" t="s">
        <v>37</v>
      </c>
      <c r="P1267" s="9">
        <v>44111.0</v>
      </c>
      <c r="Q1267" s="10">
        <v>0.20833333333575865</v>
      </c>
      <c r="R1267" s="11" t="str">
        <f t="shared" si="1"/>
        <v>Сборка на линии Prim</v>
      </c>
      <c r="S1267" s="16" t="str">
        <f>iferror(VLOOKUP(C1267,'ФИО'!A:B,2,0),"учётный код не найден")</f>
        <v>Шапенков Геннадий Михайлович</v>
      </c>
      <c r="T1267" s="13" t="str">
        <f t="shared" si="2"/>
        <v>XR (OÜ KLARBERG)</v>
      </c>
      <c r="U1267" s="8">
        <v>0.0</v>
      </c>
      <c r="V1267" s="8">
        <v>0.0</v>
      </c>
      <c r="W1267" s="21" t="str">
        <f t="shared" si="134"/>
        <v>Данные не заполены</v>
      </c>
      <c r="X1267" s="15" t="str">
        <f t="shared" si="123"/>
        <v>Данные не заполены</v>
      </c>
      <c r="Y1267" s="15">
        <f t="shared" si="124"/>
        <v>0</v>
      </c>
    </row>
    <row r="1268" hidden="1">
      <c r="A1268" s="7">
        <v>44113.34313518519</v>
      </c>
      <c r="B1268" s="8" t="s">
        <v>126</v>
      </c>
      <c r="C1268" s="8">
        <v>21171.0</v>
      </c>
      <c r="D1268" s="8" t="s">
        <v>27</v>
      </c>
      <c r="E1268" s="8" t="s">
        <v>67</v>
      </c>
      <c r="G1268" s="8">
        <v>3580.0</v>
      </c>
      <c r="H1268" s="8" t="s">
        <v>29</v>
      </c>
      <c r="I1268" s="8" t="s">
        <v>145</v>
      </c>
      <c r="L1268" s="8" t="s">
        <v>37</v>
      </c>
      <c r="M1268" s="8" t="s">
        <v>34</v>
      </c>
      <c r="N1268" s="8"/>
      <c r="O1268" s="8"/>
      <c r="P1268" s="9">
        <v>44111.0</v>
      </c>
      <c r="Q1268" s="10">
        <v>0.20138888889050577</v>
      </c>
      <c r="R1268" s="11" t="str">
        <f t="shared" si="1"/>
        <v>Сборка на линии Prim</v>
      </c>
      <c r="S1268" s="22" t="s">
        <v>27</v>
      </c>
      <c r="T1268" s="13" t="str">
        <f t="shared" si="2"/>
        <v>XR (OÜ KLARBERG)</v>
      </c>
      <c r="U1268" s="8">
        <v>820.0</v>
      </c>
      <c r="V1268" s="8">
        <v>0.0</v>
      </c>
      <c r="W1268" s="21" t="str">
        <f t="shared" si="134"/>
        <v>Данные не заполены</v>
      </c>
      <c r="X1268" s="15" t="str">
        <f t="shared" si="123"/>
        <v>Данные не заполены</v>
      </c>
      <c r="Y1268" s="15">
        <f t="shared" si="124"/>
        <v>0</v>
      </c>
    </row>
    <row r="1269" hidden="1">
      <c r="A1269" s="7">
        <v>44113.34542107639</v>
      </c>
      <c r="B1269" s="8" t="s">
        <v>126</v>
      </c>
      <c r="C1269" s="8">
        <v>21171.0</v>
      </c>
      <c r="D1269" s="8" t="s">
        <v>27</v>
      </c>
      <c r="E1269" s="8" t="s">
        <v>67</v>
      </c>
      <c r="G1269" s="8">
        <v>3238.0</v>
      </c>
      <c r="H1269" s="8" t="s">
        <v>29</v>
      </c>
      <c r="I1269" s="8" t="s">
        <v>43</v>
      </c>
      <c r="L1269" s="8" t="s">
        <v>37</v>
      </c>
      <c r="M1269" s="8" t="s">
        <v>34</v>
      </c>
      <c r="N1269" s="8"/>
      <c r="O1269" s="8"/>
      <c r="P1269" s="9">
        <v>44111.0</v>
      </c>
      <c r="Q1269" s="10">
        <v>0.04166666666424135</v>
      </c>
      <c r="R1269" s="11" t="str">
        <f t="shared" si="1"/>
        <v>Сборка на линии Prim</v>
      </c>
      <c r="S1269" s="22" t="s">
        <v>27</v>
      </c>
      <c r="T1269" s="13" t="str">
        <f t="shared" si="2"/>
        <v>915-00097.A - ПКД-8В-3 АСЛБ.467249.110 (Квант)</v>
      </c>
      <c r="U1269" s="8">
        <v>1.0</v>
      </c>
      <c r="V1269" s="8">
        <v>0.0</v>
      </c>
      <c r="W1269" s="21" t="str">
        <f t="shared" si="134"/>
        <v>Данные не заполены</v>
      </c>
      <c r="X1269" s="15" t="str">
        <f t="shared" si="123"/>
        <v>Данные не заполены</v>
      </c>
    </row>
    <row r="1270" hidden="1">
      <c r="A1270" s="7">
        <v>44113.32497266204</v>
      </c>
      <c r="B1270" s="8" t="s">
        <v>126</v>
      </c>
      <c r="C1270" s="8">
        <v>22574.0</v>
      </c>
      <c r="D1270" s="8" t="s">
        <v>27</v>
      </c>
      <c r="E1270" s="8" t="s">
        <v>67</v>
      </c>
      <c r="G1270" s="8">
        <v>3580.0</v>
      </c>
      <c r="H1270" s="8" t="s">
        <v>29</v>
      </c>
      <c r="I1270" s="8" t="s">
        <v>145</v>
      </c>
      <c r="L1270" s="8" t="s">
        <v>37</v>
      </c>
      <c r="P1270" s="9">
        <v>44112.0</v>
      </c>
      <c r="Q1270" s="10">
        <v>0.14583333333575865</v>
      </c>
      <c r="R1270" s="11" t="str">
        <f t="shared" si="1"/>
        <v>Сборка на линии Prim</v>
      </c>
      <c r="S1270" s="16" t="str">
        <f>iferror(VLOOKUP(C1270,'ФИО'!A:B,2,0),"учётный код не найден")</f>
        <v>Шапенков Геннадий Михайлович</v>
      </c>
      <c r="T1270" s="13" t="str">
        <f t="shared" si="2"/>
        <v>XR (OÜ KLARBERG)</v>
      </c>
      <c r="U1270" s="8">
        <v>0.0</v>
      </c>
      <c r="V1270" s="8">
        <v>0.0</v>
      </c>
      <c r="W1270" s="21" t="str">
        <f t="shared" si="134"/>
        <v>Данные не заполены</v>
      </c>
      <c r="X1270" s="15" t="str">
        <f t="shared" si="123"/>
        <v>Данные не заполены</v>
      </c>
      <c r="Y1270" s="15">
        <f t="shared" ref="Y1270:Y1339" si="135">iferror((V1270/if(U1270=0,1,U1270)),0)</f>
        <v>0</v>
      </c>
    </row>
    <row r="1271" hidden="1">
      <c r="A1271" s="7">
        <v>44113.33086032407</v>
      </c>
      <c r="B1271" s="8" t="s">
        <v>126</v>
      </c>
      <c r="C1271" s="8">
        <v>21927.0</v>
      </c>
      <c r="D1271" s="8" t="s">
        <v>27</v>
      </c>
      <c r="E1271" s="8" t="s">
        <v>67</v>
      </c>
      <c r="G1271" s="8">
        <v>3580.0</v>
      </c>
      <c r="H1271" s="8" t="s">
        <v>29</v>
      </c>
      <c r="I1271" s="8" t="s">
        <v>146</v>
      </c>
      <c r="L1271" s="8" t="s">
        <v>37</v>
      </c>
      <c r="P1271" s="9">
        <v>44112.0</v>
      </c>
      <c r="Q1271" s="10">
        <v>0.14583333333575865</v>
      </c>
      <c r="R1271" s="11" t="str">
        <f t="shared" si="1"/>
        <v>Сборка на линии Prim</v>
      </c>
      <c r="S1271" s="16" t="str">
        <f>iferror(VLOOKUP(C1271,'ФИО'!A:B,2,0),"учётный код не найден")</f>
        <v>Шергин Родион Олегович</v>
      </c>
      <c r="T1271" s="13" t="str">
        <f t="shared" si="2"/>
        <v>XR (Термотроник)</v>
      </c>
      <c r="U1271" s="8">
        <v>0.0</v>
      </c>
      <c r="V1271" s="8">
        <v>0.0</v>
      </c>
      <c r="W1271" s="21" t="str">
        <f t="shared" si="134"/>
        <v>Данные не заполены</v>
      </c>
      <c r="X1271" s="15" t="str">
        <f t="shared" si="123"/>
        <v>Данные не заполены</v>
      </c>
      <c r="Y1271" s="15">
        <f t="shared" si="135"/>
        <v>0</v>
      </c>
    </row>
    <row r="1272" hidden="1">
      <c r="A1272" s="7">
        <v>44113.36422846065</v>
      </c>
      <c r="B1272" s="8" t="s">
        <v>126</v>
      </c>
      <c r="C1272" s="8">
        <v>21171.0</v>
      </c>
      <c r="D1272" s="8" t="s">
        <v>27</v>
      </c>
      <c r="E1272" s="8" t="s">
        <v>67</v>
      </c>
      <c r="G1272" s="8">
        <v>3580.0</v>
      </c>
      <c r="H1272" s="8" t="s">
        <v>29</v>
      </c>
      <c r="I1272" s="8" t="s">
        <v>145</v>
      </c>
      <c r="L1272" s="8" t="s">
        <v>37</v>
      </c>
      <c r="M1272" s="8" t="s">
        <v>34</v>
      </c>
      <c r="N1272" s="8"/>
      <c r="O1272" s="8"/>
      <c r="P1272" s="9">
        <v>44112.0</v>
      </c>
      <c r="Q1272" s="10">
        <v>0.125</v>
      </c>
      <c r="R1272" s="11" t="str">
        <f t="shared" si="1"/>
        <v>Сборка на линии Prim</v>
      </c>
      <c r="S1272" s="22" t="s">
        <v>27</v>
      </c>
      <c r="T1272" s="13" t="str">
        <f t="shared" si="2"/>
        <v>XR (OÜ KLARBERG)</v>
      </c>
      <c r="U1272" s="8">
        <v>20.0</v>
      </c>
      <c r="V1272" s="8">
        <v>0.0</v>
      </c>
      <c r="W1272" s="21" t="str">
        <f t="shared" si="134"/>
        <v>Данные не заполены</v>
      </c>
      <c r="X1272" s="15" t="str">
        <f t="shared" si="123"/>
        <v>Данные не заполены</v>
      </c>
      <c r="Y1272" s="15">
        <f t="shared" si="135"/>
        <v>0</v>
      </c>
    </row>
    <row r="1273" hidden="1">
      <c r="A1273" s="7">
        <v>44124.75966646991</v>
      </c>
      <c r="B1273" s="8" t="s">
        <v>127</v>
      </c>
      <c r="C1273" s="8">
        <v>20015.0</v>
      </c>
      <c r="D1273" s="8" t="s">
        <v>27</v>
      </c>
      <c r="E1273" s="8" t="s">
        <v>47</v>
      </c>
      <c r="G1273" s="8">
        <v>3804.0</v>
      </c>
      <c r="H1273" s="8" t="s">
        <v>45</v>
      </c>
      <c r="K1273" s="8" t="s">
        <v>52</v>
      </c>
      <c r="L1273" s="8" t="s">
        <v>31</v>
      </c>
      <c r="M1273" s="8" t="s">
        <v>34</v>
      </c>
      <c r="P1273" s="9">
        <v>44124.0</v>
      </c>
      <c r="Q1273" s="10">
        <v>0.03125</v>
      </c>
      <c r="R1273" s="11" t="str">
        <f t="shared" si="1"/>
        <v>Верификация компонентов на линию</v>
      </c>
      <c r="S1273" s="16" t="str">
        <f>iferror(VLOOKUP(C1273,'ФИО'!A:B,2,0),"учётный код не найден")</f>
        <v>Ельцов Андрей Николаевич</v>
      </c>
      <c r="T1273" s="11" t="str">
        <f t="shared" si="2"/>
        <v>М17V2 (900-00018.D)_910-00023.H и ПУ 910-00012.I</v>
      </c>
      <c r="U1273" s="8">
        <v>0.0</v>
      </c>
      <c r="V1273" s="8">
        <v>0.0</v>
      </c>
      <c r="W1273" s="17" t="str">
        <f t="shared" si="134"/>
        <v>Данные не заполены</v>
      </c>
      <c r="X1273" s="14" t="str">
        <f t="shared" si="123"/>
        <v>Данные не заполены</v>
      </c>
      <c r="Y1273" s="15">
        <f t="shared" si="135"/>
        <v>0</v>
      </c>
    </row>
    <row r="1274" hidden="1">
      <c r="A1274" s="7">
        <v>44129.32654608796</v>
      </c>
      <c r="B1274" s="8" t="s">
        <v>94</v>
      </c>
      <c r="C1274" s="8">
        <v>60000.0</v>
      </c>
      <c r="D1274" s="8" t="s">
        <v>27</v>
      </c>
      <c r="E1274" s="8" t="s">
        <v>282</v>
      </c>
      <c r="G1274" s="8">
        <v>3804.0</v>
      </c>
      <c r="H1274" s="8" t="s">
        <v>45</v>
      </c>
      <c r="K1274" s="8" t="s">
        <v>52</v>
      </c>
      <c r="L1274" s="8" t="s">
        <v>31</v>
      </c>
      <c r="M1274" s="8" t="s">
        <v>34</v>
      </c>
      <c r="P1274" s="9">
        <v>44125.0</v>
      </c>
      <c r="Q1274" s="10">
        <v>0.08333333333575865</v>
      </c>
      <c r="R1274" s="11" t="str">
        <f t="shared" si="1"/>
        <v>Создание программы для AOI SEC</v>
      </c>
      <c r="S1274" s="12" t="str">
        <f>iferror(VLOOKUP(C1274,'ФИО'!A:B,2,0),"учётный код не найден")</f>
        <v>THT</v>
      </c>
      <c r="T1274" s="11" t="str">
        <f t="shared" si="2"/>
        <v>М17V2 (900-00018.D)_910-00023.H и ПУ 910-00012.I</v>
      </c>
      <c r="U1274" s="8">
        <v>0.0</v>
      </c>
      <c r="V1274" s="8">
        <v>0.0</v>
      </c>
      <c r="W1274" s="21" t="str">
        <f t="shared" si="134"/>
        <v>Данные не заполены</v>
      </c>
      <c r="X1274" s="15" t="str">
        <f t="shared" si="123"/>
        <v>Данные не заполены</v>
      </c>
      <c r="Y1274" s="15">
        <f t="shared" si="135"/>
        <v>0</v>
      </c>
    </row>
    <row r="1275" hidden="1">
      <c r="A1275" s="7">
        <v>44116.75935094907</v>
      </c>
      <c r="B1275" s="8" t="s">
        <v>127</v>
      </c>
      <c r="C1275" s="8">
        <v>20015.0</v>
      </c>
      <c r="D1275" s="8" t="s">
        <v>69</v>
      </c>
      <c r="F1275" s="8" t="s">
        <v>50</v>
      </c>
      <c r="L1275" s="8" t="s">
        <v>31</v>
      </c>
      <c r="M1275" s="8" t="s">
        <v>34</v>
      </c>
      <c r="N1275" s="8"/>
      <c r="O1275" s="8"/>
      <c r="P1275" s="9">
        <v>44116.0</v>
      </c>
      <c r="Q1275" s="10">
        <v>0.020833333335758653</v>
      </c>
      <c r="R1275" s="11" t="str">
        <f t="shared" si="1"/>
        <v>Заполнение отчёта</v>
      </c>
      <c r="S1275" s="16" t="str">
        <f>iferror(VLOOKUP(C1275,'ФИО'!A:B,2,0),"учётный код не найден")</f>
        <v>Ельцов Андрей Николаевич</v>
      </c>
      <c r="T1275" s="11" t="str">
        <f t="shared" si="2"/>
        <v/>
      </c>
      <c r="W1275" s="17" t="str">
        <f t="shared" si="134"/>
        <v>Данные не заполены</v>
      </c>
      <c r="X1275" s="14" t="str">
        <f t="shared" si="123"/>
        <v>Данные не заполены</v>
      </c>
      <c r="Y1275" s="15">
        <f t="shared" si="135"/>
        <v>0</v>
      </c>
    </row>
    <row r="1276" hidden="1">
      <c r="A1276" s="7">
        <v>44124.759006319444</v>
      </c>
      <c r="B1276" s="8" t="s">
        <v>127</v>
      </c>
      <c r="C1276" s="8">
        <v>20015.0</v>
      </c>
      <c r="D1276" s="8" t="s">
        <v>27</v>
      </c>
      <c r="E1276" s="8" t="s">
        <v>39</v>
      </c>
      <c r="G1276" s="8">
        <v>3804.0</v>
      </c>
      <c r="H1276" s="8" t="s">
        <v>45</v>
      </c>
      <c r="K1276" s="8" t="s">
        <v>52</v>
      </c>
      <c r="L1276" s="8" t="s">
        <v>31</v>
      </c>
      <c r="M1276" s="8" t="s">
        <v>34</v>
      </c>
      <c r="P1276" s="9">
        <v>44124.0</v>
      </c>
      <c r="Q1276" s="10">
        <v>0.09375</v>
      </c>
      <c r="R1276" s="11" t="str">
        <f t="shared" si="1"/>
        <v>Зарядка питателей Prim</v>
      </c>
      <c r="S1276" s="16" t="str">
        <f>iferror(VLOOKUP(C1276,'ФИО'!A:B,2,0),"учётный код не найден")</f>
        <v>Ельцов Андрей Николаевич</v>
      </c>
      <c r="T1276" s="11" t="str">
        <f t="shared" si="2"/>
        <v>М17V2 (900-00018.D)_910-00023.H и ПУ 910-00012.I</v>
      </c>
      <c r="U1276" s="8">
        <v>0.0</v>
      </c>
      <c r="V1276" s="8">
        <v>0.0</v>
      </c>
      <c r="W1276" s="17" t="str">
        <f t="shared" si="134"/>
        <v>Данные не заполены</v>
      </c>
      <c r="X1276" s="14" t="str">
        <f t="shared" si="123"/>
        <v>Данные не заполены</v>
      </c>
      <c r="Y1276" s="15">
        <f t="shared" si="135"/>
        <v>0</v>
      </c>
    </row>
    <row r="1277" hidden="1">
      <c r="A1277" s="7">
        <v>44132.816290902774</v>
      </c>
      <c r="B1277" s="8" t="s">
        <v>127</v>
      </c>
      <c r="C1277" s="8">
        <v>20015.0</v>
      </c>
      <c r="D1277" s="8" t="s">
        <v>27</v>
      </c>
      <c r="E1277" s="8" t="s">
        <v>39</v>
      </c>
      <c r="G1277" s="8">
        <v>3621.0</v>
      </c>
      <c r="H1277" s="8" t="s">
        <v>29</v>
      </c>
      <c r="I1277" s="8" t="s">
        <v>54</v>
      </c>
      <c r="L1277" s="8" t="s">
        <v>31</v>
      </c>
      <c r="M1277" s="8" t="s">
        <v>34</v>
      </c>
      <c r="P1277" s="9">
        <v>44132.0</v>
      </c>
      <c r="Q1277" s="10">
        <v>0.020833333335758653</v>
      </c>
      <c r="R1277" s="11" t="str">
        <f t="shared" si="1"/>
        <v>Зарядка питателей Prim</v>
      </c>
      <c r="S1277" s="16" t="str">
        <f>iferror(VLOOKUP(C1277,'ФИО'!A:B,2,0),"учётный код не найден")</f>
        <v>Ельцов Андрей Николаевич</v>
      </c>
      <c r="T1277" s="11" t="str">
        <f t="shared" si="2"/>
        <v>915-00121.A - Процессорный модуль РСЕН.469555.027 (КНС Групп)</v>
      </c>
      <c r="U1277" s="8">
        <v>12.0</v>
      </c>
      <c r="V1277" s="8">
        <v>0.0</v>
      </c>
      <c r="W1277" s="17" t="str">
        <f t="shared" si="134"/>
        <v>Данные не заполены</v>
      </c>
      <c r="X1277" s="14" t="str">
        <f t="shared" si="123"/>
        <v>Данные не заполены</v>
      </c>
      <c r="Y1277" s="15">
        <f t="shared" si="135"/>
        <v>0</v>
      </c>
    </row>
    <row r="1278" hidden="1">
      <c r="A1278" s="7">
        <v>44116.75865376157</v>
      </c>
      <c r="B1278" s="8" t="s">
        <v>127</v>
      </c>
      <c r="C1278" s="8">
        <v>20015.0</v>
      </c>
      <c r="D1278" s="8" t="s">
        <v>69</v>
      </c>
      <c r="F1278" s="8" t="s">
        <v>164</v>
      </c>
      <c r="G1278" s="8">
        <v>3238.0</v>
      </c>
      <c r="H1278" s="8" t="s">
        <v>29</v>
      </c>
      <c r="I1278" s="8" t="s">
        <v>43</v>
      </c>
      <c r="L1278" s="8" t="s">
        <v>31</v>
      </c>
      <c r="M1278" s="8" t="s">
        <v>34</v>
      </c>
      <c r="N1278" s="8"/>
      <c r="O1278" s="8"/>
      <c r="P1278" s="9">
        <v>44116.0</v>
      </c>
      <c r="Q1278" s="10">
        <v>0.125</v>
      </c>
      <c r="R1278" s="11" t="str">
        <f t="shared" si="1"/>
        <v>Написание программы для АОИ PRI</v>
      </c>
      <c r="S1278" s="16" t="str">
        <f>iferror(VLOOKUP(C1278,'ФИО'!A:B,2,0),"учётный код не найден")</f>
        <v>Ельцов Андрей Николаевич</v>
      </c>
      <c r="T1278" s="11" t="str">
        <f t="shared" si="2"/>
        <v>915-00097.A - ПКД-8В-3 АСЛБ.467249.110 (Квант)</v>
      </c>
      <c r="U1278" s="8">
        <v>0.0</v>
      </c>
      <c r="V1278" s="8">
        <v>0.0</v>
      </c>
      <c r="W1278" s="17" t="str">
        <f t="shared" si="134"/>
        <v>Данные не заполены</v>
      </c>
      <c r="X1278" s="14" t="str">
        <f t="shared" si="123"/>
        <v>Данные не заполены</v>
      </c>
      <c r="Y1278" s="15">
        <f t="shared" si="135"/>
        <v>0</v>
      </c>
    </row>
    <row r="1279" hidden="1">
      <c r="A1279" s="7">
        <v>44132.74751998842</v>
      </c>
      <c r="B1279" s="8" t="s">
        <v>127</v>
      </c>
      <c r="C1279" s="8">
        <v>20015.0</v>
      </c>
      <c r="D1279" s="8" t="s">
        <v>69</v>
      </c>
      <c r="F1279" s="8" t="s">
        <v>164</v>
      </c>
      <c r="G1279" s="8">
        <v>3237.0</v>
      </c>
      <c r="H1279" s="8" t="s">
        <v>29</v>
      </c>
      <c r="I1279" s="8" t="s">
        <v>56</v>
      </c>
      <c r="L1279" s="8" t="s">
        <v>31</v>
      </c>
      <c r="M1279" s="8" t="s">
        <v>34</v>
      </c>
      <c r="P1279" s="9">
        <v>44132.0</v>
      </c>
      <c r="Q1279" s="10">
        <v>0.041666666666666664</v>
      </c>
      <c r="R1279" s="11" t="str">
        <f t="shared" si="1"/>
        <v>Написание программы для АОИ PRI</v>
      </c>
      <c r="S1279" s="16" t="str">
        <f>iferror(VLOOKUP(C1279,'ФИО'!A:B,2,0),"учётный код не найден")</f>
        <v>Ельцов Андрей Николаевич</v>
      </c>
      <c r="T1279" s="11" t="str">
        <f t="shared" si="2"/>
        <v>915-00098.А - ПКБУИК-38 АСЛБ.465122.020 (Квант)</v>
      </c>
      <c r="U1279" s="8">
        <v>0.0</v>
      </c>
      <c r="V1279" s="8">
        <v>0.0</v>
      </c>
      <c r="W1279" s="17" t="str">
        <f t="shared" si="134"/>
        <v>Данные не заполены</v>
      </c>
      <c r="X1279" s="14" t="str">
        <f t="shared" si="123"/>
        <v>Данные не заполены</v>
      </c>
      <c r="Y1279" s="15">
        <f t="shared" si="135"/>
        <v>0</v>
      </c>
    </row>
    <row r="1280" hidden="1">
      <c r="A1280" s="7">
        <v>44116.759071134264</v>
      </c>
      <c r="B1280" s="8" t="s">
        <v>127</v>
      </c>
      <c r="C1280" s="8">
        <v>20015.0</v>
      </c>
      <c r="D1280" s="8" t="s">
        <v>69</v>
      </c>
      <c r="F1280" s="8" t="s">
        <v>181</v>
      </c>
      <c r="G1280" s="8">
        <v>3238.0</v>
      </c>
      <c r="H1280" s="8" t="s">
        <v>29</v>
      </c>
      <c r="I1280" s="8" t="s">
        <v>43</v>
      </c>
      <c r="L1280" s="8" t="s">
        <v>31</v>
      </c>
      <c r="M1280" s="8" t="s">
        <v>34</v>
      </c>
      <c r="N1280" s="8"/>
      <c r="O1280" s="8"/>
      <c r="P1280" s="9">
        <v>44116.0</v>
      </c>
      <c r="Q1280" s="10">
        <v>0.04166666666424135</v>
      </c>
      <c r="R1280" s="11" t="str">
        <f t="shared" si="1"/>
        <v>Написание программы для АОИ SEC</v>
      </c>
      <c r="S1280" s="16" t="str">
        <f>iferror(VLOOKUP(C1280,'ФИО'!A:B,2,0),"учётный код не найден")</f>
        <v>Ельцов Андрей Николаевич</v>
      </c>
      <c r="T1280" s="11" t="str">
        <f t="shared" si="2"/>
        <v>915-00097.A - ПКД-8В-3 АСЛБ.467249.110 (Квант)</v>
      </c>
      <c r="U1280" s="8">
        <v>0.0</v>
      </c>
      <c r="V1280" s="8">
        <v>0.0</v>
      </c>
      <c r="W1280" s="17" t="str">
        <f t="shared" si="134"/>
        <v>Данные не заполены</v>
      </c>
      <c r="X1280" s="14" t="str">
        <f t="shared" si="123"/>
        <v>Данные не заполены</v>
      </c>
      <c r="Y1280" s="15">
        <f t="shared" si="135"/>
        <v>0</v>
      </c>
    </row>
    <row r="1281" hidden="1">
      <c r="A1281" s="7">
        <v>44120.811899872686</v>
      </c>
      <c r="B1281" s="8" t="s">
        <v>26</v>
      </c>
      <c r="C1281" s="8">
        <v>22087.0</v>
      </c>
      <c r="D1281" s="8" t="s">
        <v>27</v>
      </c>
      <c r="E1281" s="8" t="s">
        <v>68</v>
      </c>
      <c r="L1281" s="8" t="s">
        <v>31</v>
      </c>
      <c r="M1281" s="8" t="s">
        <v>34</v>
      </c>
      <c r="P1281" s="9">
        <v>44120.0</v>
      </c>
      <c r="Q1281" s="10">
        <v>0.45833333333575865</v>
      </c>
      <c r="R1281" s="11" t="str">
        <f t="shared" si="1"/>
        <v>Прохождение обучения</v>
      </c>
      <c r="S1281" s="16" t="str">
        <f>iferror(VLOOKUP(C1281,'ФИО'!A:B,2,0),"учётный код не найден")</f>
        <v>Хохряков Илья Александрович</v>
      </c>
      <c r="T1281" s="13" t="str">
        <f t="shared" si="2"/>
        <v/>
      </c>
      <c r="U1281" s="8">
        <v>0.0</v>
      </c>
      <c r="V1281" s="8">
        <v>0.0</v>
      </c>
      <c r="W1281" s="17" t="str">
        <f t="shared" si="134"/>
        <v>Данные не заполены</v>
      </c>
      <c r="X1281" s="14" t="str">
        <f t="shared" si="123"/>
        <v>Данные не заполены</v>
      </c>
      <c r="Y1281" s="15">
        <f t="shared" si="135"/>
        <v>0</v>
      </c>
    </row>
    <row r="1282" hidden="1">
      <c r="A1282" s="7">
        <v>44125.325694189814</v>
      </c>
      <c r="B1282" s="8" t="s">
        <v>38</v>
      </c>
      <c r="C1282" s="8">
        <v>22087.0</v>
      </c>
      <c r="D1282" s="8" t="s">
        <v>27</v>
      </c>
      <c r="E1282" s="8" t="s">
        <v>68</v>
      </c>
      <c r="L1282" s="8" t="s">
        <v>31</v>
      </c>
      <c r="M1282" s="8" t="s">
        <v>34</v>
      </c>
      <c r="P1282" s="9">
        <v>44124.0</v>
      </c>
      <c r="Q1282" s="10">
        <v>0.020833333335758653</v>
      </c>
      <c r="R1282" s="11" t="str">
        <f t="shared" si="1"/>
        <v>Прохождение обучения</v>
      </c>
      <c r="S1282" s="16" t="str">
        <f>iferror(VLOOKUP(C1282,'ФИО'!A:B,2,0),"учётный код не найден")</f>
        <v>Хохряков Илья Александрович</v>
      </c>
      <c r="T1282" s="13" t="str">
        <f t="shared" si="2"/>
        <v/>
      </c>
      <c r="X1282" s="14" t="str">
        <f t="shared" si="123"/>
        <v>Данные не заполены</v>
      </c>
      <c r="Y1282" s="15">
        <f t="shared" si="135"/>
        <v>0</v>
      </c>
    </row>
    <row r="1283" hidden="1">
      <c r="A1283" s="7">
        <v>44129.82318046296</v>
      </c>
      <c r="B1283" s="8" t="s">
        <v>26</v>
      </c>
      <c r="C1283" s="8">
        <v>22087.0</v>
      </c>
      <c r="D1283" s="8" t="s">
        <v>27</v>
      </c>
      <c r="E1283" s="8" t="s">
        <v>68</v>
      </c>
      <c r="L1283" s="8" t="s">
        <v>31</v>
      </c>
      <c r="M1283" s="8" t="s">
        <v>34</v>
      </c>
      <c r="P1283" s="9">
        <v>44129.0</v>
      </c>
      <c r="Q1283" s="10">
        <v>0.020833333335758653</v>
      </c>
      <c r="R1283" s="11" t="str">
        <f t="shared" si="1"/>
        <v>Прохождение обучения</v>
      </c>
      <c r="S1283" s="12" t="str">
        <f>iferror(VLOOKUP(C1283,'ФИО'!A:B,2,0),"учётный код не найден")</f>
        <v>Хохряков Илья Александрович</v>
      </c>
      <c r="T1283" s="13" t="str">
        <f t="shared" si="2"/>
        <v/>
      </c>
      <c r="X1283" s="14" t="str">
        <f t="shared" si="123"/>
        <v>Данные не заполены</v>
      </c>
      <c r="Y1283" s="15">
        <f t="shared" si="135"/>
        <v>0</v>
      </c>
    </row>
    <row r="1284" hidden="1">
      <c r="A1284" s="7">
        <v>44132.32520265046</v>
      </c>
      <c r="B1284" s="8" t="s">
        <v>38</v>
      </c>
      <c r="C1284" s="8">
        <v>22087.0</v>
      </c>
      <c r="D1284" s="8" t="s">
        <v>27</v>
      </c>
      <c r="E1284" s="8" t="s">
        <v>68</v>
      </c>
      <c r="L1284" s="8" t="s">
        <v>31</v>
      </c>
      <c r="M1284" s="8" t="s">
        <v>34</v>
      </c>
      <c r="P1284" s="9">
        <v>44131.0</v>
      </c>
      <c r="Q1284" s="10">
        <v>0.03125</v>
      </c>
      <c r="R1284" s="11" t="str">
        <f t="shared" si="1"/>
        <v>Прохождение обучения</v>
      </c>
      <c r="S1284" s="12" t="str">
        <f>iferror(VLOOKUP(C1284,'ФИО'!A:B,2,0),"учётный код не найден")</f>
        <v>Хохряков Илья Александрович</v>
      </c>
      <c r="T1284" s="13" t="str">
        <f t="shared" si="2"/>
        <v/>
      </c>
      <c r="X1284" s="14" t="str">
        <f t="shared" si="123"/>
        <v>Данные не заполены</v>
      </c>
      <c r="Y1284" s="15">
        <f t="shared" si="135"/>
        <v>0</v>
      </c>
    </row>
    <row r="1285" hidden="1">
      <c r="A1285" s="7">
        <v>44129.82018026621</v>
      </c>
      <c r="B1285" s="8" t="s">
        <v>26</v>
      </c>
      <c r="C1285" s="8">
        <v>22087.0</v>
      </c>
      <c r="D1285" s="8" t="s">
        <v>27</v>
      </c>
      <c r="E1285" s="8" t="s">
        <v>112</v>
      </c>
      <c r="G1285" s="8">
        <v>3804.0</v>
      </c>
      <c r="H1285" s="8" t="s">
        <v>45</v>
      </c>
      <c r="K1285" s="8" t="s">
        <v>52</v>
      </c>
      <c r="L1285" s="8" t="s">
        <v>31</v>
      </c>
      <c r="M1285" s="8" t="s">
        <v>286</v>
      </c>
      <c r="P1285" s="9">
        <v>44129.0</v>
      </c>
      <c r="Q1285" s="10">
        <v>0.02500000000145519</v>
      </c>
      <c r="R1285" s="11" t="str">
        <f t="shared" si="1"/>
        <v>Разрядка питателей Sec</v>
      </c>
      <c r="S1285" s="12" t="str">
        <f>iferror(VLOOKUP(C1285,'ФИО'!A:B,2,0),"учётный код не найден")</f>
        <v>Хохряков Илья Александрович</v>
      </c>
      <c r="T1285" s="13" t="str">
        <f t="shared" si="2"/>
        <v>М17V2 (900-00018.D)_910-00023.H и ПУ 910-00012.I</v>
      </c>
      <c r="U1285" s="8">
        <v>62.0</v>
      </c>
      <c r="V1285" s="8">
        <v>0.0</v>
      </c>
      <c r="W1285" s="8">
        <v>1320.0</v>
      </c>
      <c r="X1285" s="14">
        <f t="shared" si="123"/>
        <v>0.8611111111</v>
      </c>
      <c r="Y1285" s="15">
        <f t="shared" si="135"/>
        <v>0</v>
      </c>
    </row>
    <row r="1286" hidden="1">
      <c r="A1286" s="7">
        <v>44116.318037453704</v>
      </c>
      <c r="B1286" s="8" t="s">
        <v>38</v>
      </c>
      <c r="C1286" s="8">
        <v>22087.0</v>
      </c>
      <c r="D1286" s="8" t="s">
        <v>27</v>
      </c>
      <c r="E1286" s="8" t="s">
        <v>67</v>
      </c>
      <c r="G1286" s="8">
        <v>3750.0</v>
      </c>
      <c r="H1286" s="8" t="s">
        <v>45</v>
      </c>
      <c r="K1286" s="8" t="s">
        <v>46</v>
      </c>
      <c r="L1286" s="8" t="s">
        <v>37</v>
      </c>
      <c r="P1286" s="9">
        <v>44115.0</v>
      </c>
      <c r="Q1286" s="10">
        <v>0.125</v>
      </c>
      <c r="R1286" s="11" t="str">
        <f t="shared" si="1"/>
        <v>Сборка на линии Prim</v>
      </c>
      <c r="S1286" s="16" t="str">
        <f>iferror(VLOOKUP(C1286,'ФИО'!A:B,2,0),"учётный код не найден")</f>
        <v>Хохряков Илья Александрович</v>
      </c>
      <c r="T1286" s="13" t="str">
        <f t="shared" si="2"/>
        <v>ПУ 910-00349.A "Печатный узел основного блока E96 4LIN"</v>
      </c>
      <c r="U1286" s="8">
        <v>0.0</v>
      </c>
      <c r="V1286" s="8">
        <v>0.0</v>
      </c>
      <c r="W1286" s="21" t="str">
        <f t="shared" ref="W1286:W1287" si="136">IFERROR((((38412/(ifs(O1286&lt;35,35,O1286&gt;34,O1286)/N1286)*0.7))),"Данные не заполены")</f>
        <v>Данные не заполены</v>
      </c>
      <c r="X1286" s="15" t="str">
        <f t="shared" si="123"/>
        <v>Данные не заполены</v>
      </c>
      <c r="Y1286" s="15">
        <f t="shared" si="135"/>
        <v>0</v>
      </c>
    </row>
    <row r="1287" hidden="1">
      <c r="A1287" s="7">
        <v>44121.82395277778</v>
      </c>
      <c r="B1287" s="8" t="s">
        <v>26</v>
      </c>
      <c r="C1287" s="8">
        <v>22087.0</v>
      </c>
      <c r="D1287" s="8" t="s">
        <v>27</v>
      </c>
      <c r="E1287" s="8" t="s">
        <v>67</v>
      </c>
      <c r="G1287" s="8">
        <v>3754.0</v>
      </c>
      <c r="H1287" s="8" t="s">
        <v>45</v>
      </c>
      <c r="K1287" s="8" t="s">
        <v>124</v>
      </c>
      <c r="L1287" s="8" t="s">
        <v>37</v>
      </c>
      <c r="P1287" s="9">
        <v>44121.0</v>
      </c>
      <c r="Q1287" s="10">
        <v>0.16666666666424135</v>
      </c>
      <c r="R1287" s="11" t="str">
        <f t="shared" si="1"/>
        <v>Сборка на линии Prim</v>
      </c>
      <c r="S1287" s="16" t="str">
        <f>iferror(VLOOKUP(C1287,'ФИО'!A:B,2,0),"учётный код не найден")</f>
        <v>Хохряков Илья Александрович</v>
      </c>
      <c r="T1287" s="13" t="str">
        <f t="shared" si="2"/>
        <v>ПУ 910-00120.D - Печатный узел модуля 2CAN+LIN</v>
      </c>
      <c r="U1287" s="8">
        <v>0.0</v>
      </c>
      <c r="V1287" s="8">
        <v>0.0</v>
      </c>
      <c r="W1287" s="17" t="str">
        <f t="shared" si="136"/>
        <v>Данные не заполены</v>
      </c>
      <c r="X1287" s="14" t="str">
        <f t="shared" si="123"/>
        <v>Данные не заполены</v>
      </c>
      <c r="Y1287" s="15">
        <f t="shared" si="135"/>
        <v>0</v>
      </c>
    </row>
    <row r="1288" hidden="1">
      <c r="A1288" s="7">
        <v>44125.32463253472</v>
      </c>
      <c r="B1288" s="8" t="s">
        <v>38</v>
      </c>
      <c r="C1288" s="8">
        <v>22087.0</v>
      </c>
      <c r="D1288" s="8" t="s">
        <v>27</v>
      </c>
      <c r="E1288" s="8" t="s">
        <v>67</v>
      </c>
      <c r="G1288" s="8">
        <v>3253.0</v>
      </c>
      <c r="H1288" s="8" t="s">
        <v>29</v>
      </c>
      <c r="I1288" s="8" t="s">
        <v>95</v>
      </c>
      <c r="L1288" s="8" t="s">
        <v>37</v>
      </c>
      <c r="P1288" s="9">
        <v>44124.0</v>
      </c>
      <c r="Q1288" s="10">
        <v>0.08333333333575865</v>
      </c>
      <c r="R1288" s="11" t="str">
        <f t="shared" si="1"/>
        <v>Сборка на линии Prim</v>
      </c>
      <c r="S1288" s="16" t="str">
        <f>iferror(VLOOKUP(C1288,'ФИО'!A:B,2,0),"учётный код не найден")</f>
        <v>Хохряков Илья Александрович</v>
      </c>
      <c r="T1288" s="13" t="str">
        <f t="shared" si="2"/>
        <v>915-00095.A - ПКД-8В-1 АСЛБ.467249.108 (Квант)</v>
      </c>
      <c r="U1288" s="8">
        <v>0.0</v>
      </c>
      <c r="V1288" s="8">
        <v>0.0</v>
      </c>
      <c r="X1288" s="14" t="str">
        <f t="shared" si="123"/>
        <v>Данные не заполены</v>
      </c>
      <c r="Y1288" s="15">
        <f t="shared" si="135"/>
        <v>0</v>
      </c>
    </row>
    <row r="1289" hidden="1">
      <c r="A1289" s="7">
        <v>44128.8215647801</v>
      </c>
      <c r="B1289" s="8" t="s">
        <v>26</v>
      </c>
      <c r="C1289" s="8">
        <v>50000.0</v>
      </c>
      <c r="D1289" s="8" t="s">
        <v>27</v>
      </c>
      <c r="E1289" s="8" t="s">
        <v>88</v>
      </c>
      <c r="G1289" s="8">
        <v>3804.0</v>
      </c>
      <c r="H1289" s="8" t="s">
        <v>45</v>
      </c>
      <c r="K1289" s="8" t="s">
        <v>52</v>
      </c>
      <c r="L1289" s="8" t="s">
        <v>37</v>
      </c>
      <c r="N1289" s="8">
        <v>20.0</v>
      </c>
      <c r="O1289" s="8">
        <v>40.0</v>
      </c>
      <c r="P1289" s="9">
        <v>44128.0</v>
      </c>
      <c r="Q1289" s="10">
        <v>0.24652777778101154</v>
      </c>
      <c r="R1289" s="11" t="str">
        <f t="shared" si="1"/>
        <v>Сборка на линии Sec</v>
      </c>
      <c r="S1289" s="12" t="str">
        <f>iferror(VLOOKUP(C1289,'ФИО'!A:B,2,0),"учётный код не найден")</f>
        <v>SMT</v>
      </c>
      <c r="T1289" s="13" t="str">
        <f t="shared" si="2"/>
        <v>М17V2 (900-00018.D)_910-00023.H и ПУ 910-00012.I</v>
      </c>
      <c r="U1289" s="8">
        <v>2300.0</v>
      </c>
      <c r="V1289" s="8">
        <v>0.0</v>
      </c>
      <c r="W1289" s="8">
        <v>14152.0</v>
      </c>
      <c r="X1289" s="14">
        <f t="shared" si="123"/>
        <v>0.3021520872</v>
      </c>
      <c r="Y1289" s="15">
        <f t="shared" si="135"/>
        <v>0</v>
      </c>
      <c r="Z1289" s="25" t="s">
        <v>287</v>
      </c>
    </row>
    <row r="1290" hidden="1">
      <c r="A1290" s="7">
        <v>44129.356178877315</v>
      </c>
      <c r="B1290" s="8" t="s">
        <v>26</v>
      </c>
      <c r="C1290" s="8">
        <v>60000.0</v>
      </c>
      <c r="D1290" s="8" t="s">
        <v>69</v>
      </c>
      <c r="F1290" s="8" t="s">
        <v>72</v>
      </c>
      <c r="G1290" s="8">
        <v>3253.0</v>
      </c>
      <c r="H1290" s="8" t="s">
        <v>29</v>
      </c>
      <c r="I1290" s="8" t="s">
        <v>95</v>
      </c>
      <c r="L1290" s="8" t="s">
        <v>37</v>
      </c>
      <c r="N1290" s="8">
        <v>1.0</v>
      </c>
      <c r="O1290" s="8">
        <v>93.0</v>
      </c>
      <c r="P1290" s="9">
        <v>44128.0</v>
      </c>
      <c r="Q1290" s="10">
        <v>0.08333333333575865</v>
      </c>
      <c r="R1290" s="11" t="str">
        <f t="shared" si="1"/>
        <v>Пайка компонентов PRI</v>
      </c>
      <c r="S1290" s="12" t="str">
        <f>iferror(VLOOKUP(C1290,'ФИО'!A:B,2,0),"учётный код не найден")</f>
        <v>THT</v>
      </c>
      <c r="T1290" s="13" t="str">
        <f t="shared" si="2"/>
        <v>915-00095.A - ПКД-8В-1 АСЛБ.467249.108 (Квант)</v>
      </c>
      <c r="U1290" s="8">
        <v>47.0</v>
      </c>
      <c r="V1290" s="8">
        <v>0.0</v>
      </c>
      <c r="W1290" s="8">
        <v>336.0</v>
      </c>
      <c r="X1290" s="14">
        <f t="shared" si="123"/>
        <v>0.7693452381</v>
      </c>
      <c r="Y1290" s="15">
        <f t="shared" si="135"/>
        <v>0</v>
      </c>
      <c r="Z1290" s="25" t="s">
        <v>288</v>
      </c>
    </row>
    <row r="1291" hidden="1">
      <c r="A1291" s="7">
        <v>44129.35535358796</v>
      </c>
      <c r="B1291" s="8" t="s">
        <v>26</v>
      </c>
      <c r="C1291" s="8">
        <v>60000.0</v>
      </c>
      <c r="D1291" s="8" t="s">
        <v>69</v>
      </c>
      <c r="F1291" s="8" t="s">
        <v>72</v>
      </c>
      <c r="G1291" s="8">
        <v>3667.0</v>
      </c>
      <c r="H1291" s="8" t="s">
        <v>45</v>
      </c>
      <c r="K1291" s="8" t="s">
        <v>155</v>
      </c>
      <c r="L1291" s="8" t="s">
        <v>37</v>
      </c>
      <c r="N1291" s="8">
        <v>20.0</v>
      </c>
      <c r="O1291" s="8">
        <v>80.0</v>
      </c>
      <c r="P1291" s="9">
        <v>44128.0</v>
      </c>
      <c r="Q1291" s="10">
        <v>0.10416666666424135</v>
      </c>
      <c r="R1291" s="11" t="str">
        <f t="shared" si="1"/>
        <v>Пайка компонентов PRI</v>
      </c>
      <c r="S1291" s="12" t="str">
        <f>iferror(VLOOKUP(C1291,'ФИО'!A:B,2,0),"учётный код не найден")</f>
        <v>THT</v>
      </c>
      <c r="T1291" s="13" t="str">
        <f t="shared" si="2"/>
        <v>ПУ N11 910-00188.B</v>
      </c>
      <c r="U1291" s="8">
        <v>1860.0</v>
      </c>
      <c r="V1291" s="8">
        <v>0.0</v>
      </c>
      <c r="W1291" s="8">
        <v>8609.0</v>
      </c>
      <c r="X1291" s="14">
        <f t="shared" si="123"/>
        <v>0.9506330584</v>
      </c>
      <c r="Y1291" s="15">
        <f t="shared" si="135"/>
        <v>0</v>
      </c>
      <c r="Z1291" s="8" t="s">
        <v>289</v>
      </c>
    </row>
    <row r="1292" hidden="1">
      <c r="A1292" s="7">
        <v>44126.81794482638</v>
      </c>
      <c r="B1292" s="8" t="s">
        <v>89</v>
      </c>
      <c r="C1292" s="8">
        <v>21852.0</v>
      </c>
      <c r="D1292" s="8" t="s">
        <v>27</v>
      </c>
      <c r="E1292" s="8" t="s">
        <v>68</v>
      </c>
      <c r="L1292" s="8" t="s">
        <v>31</v>
      </c>
      <c r="M1292" s="8" t="s">
        <v>34</v>
      </c>
      <c r="P1292" s="9">
        <v>44126.0</v>
      </c>
      <c r="Q1292" s="10">
        <v>0.020833333335758653</v>
      </c>
      <c r="R1292" s="11" t="str">
        <f t="shared" si="1"/>
        <v>Прохождение обучения</v>
      </c>
      <c r="S1292" s="16" t="str">
        <f>iferror(VLOOKUP(C1292,'ФИО'!A:B,2,0),"учётный код не найден")</f>
        <v>Пономарев Юрий Андреевич</v>
      </c>
      <c r="T1292" s="13" t="str">
        <f t="shared" si="2"/>
        <v/>
      </c>
      <c r="W1292" s="17" t="str">
        <f>IFERROR((((38412/(ifs(O1292&lt;35,35,O1292&gt;34,O1292)/N1292)*0.7))),"Данные не заполены")</f>
        <v>Данные не заполены</v>
      </c>
      <c r="X1292" s="14" t="str">
        <f t="shared" si="123"/>
        <v>Данные не заполены</v>
      </c>
      <c r="Y1292" s="15">
        <f t="shared" si="135"/>
        <v>0</v>
      </c>
    </row>
    <row r="1293" hidden="1">
      <c r="A1293" s="7">
        <v>44125.31868251157</v>
      </c>
      <c r="B1293" s="8" t="s">
        <v>38</v>
      </c>
      <c r="C1293" s="8">
        <v>22087.0</v>
      </c>
      <c r="D1293" s="8" t="s">
        <v>27</v>
      </c>
      <c r="E1293" s="8" t="s">
        <v>168</v>
      </c>
      <c r="G1293" s="8">
        <v>3621.0</v>
      </c>
      <c r="H1293" s="8" t="s">
        <v>29</v>
      </c>
      <c r="I1293" s="8" t="s">
        <v>54</v>
      </c>
      <c r="L1293" s="8" t="s">
        <v>31</v>
      </c>
      <c r="M1293" s="8" t="s">
        <v>34</v>
      </c>
      <c r="P1293" s="9">
        <v>44124.0</v>
      </c>
      <c r="Q1293" s="10">
        <v>0.21875</v>
      </c>
      <c r="R1293" s="11" t="str">
        <f t="shared" si="1"/>
        <v>Создание программы для NPM</v>
      </c>
      <c r="S1293" s="16" t="str">
        <f>iferror(VLOOKUP(C1293,'ФИО'!A:B,2,0),"учётный код не найден")</f>
        <v>Хохряков Илья Александрович</v>
      </c>
      <c r="T1293" s="13" t="str">
        <f t="shared" si="2"/>
        <v>915-00121.A - Процессорный модуль РСЕН.469555.027 (КНС Групп)</v>
      </c>
      <c r="U1293" s="8">
        <v>0.0</v>
      </c>
      <c r="V1293" s="8">
        <v>0.0</v>
      </c>
      <c r="X1293" s="14" t="str">
        <f t="shared" si="123"/>
        <v>Данные не заполены</v>
      </c>
      <c r="Y1293" s="15">
        <f t="shared" si="135"/>
        <v>0</v>
      </c>
    </row>
    <row r="1294" hidden="1">
      <c r="A1294" s="7">
        <v>44130.22841121528</v>
      </c>
      <c r="B1294" s="8" t="s">
        <v>76</v>
      </c>
      <c r="C1294" s="8">
        <v>22011.0</v>
      </c>
      <c r="D1294" s="8" t="s">
        <v>27</v>
      </c>
      <c r="E1294" s="8" t="s">
        <v>68</v>
      </c>
      <c r="L1294" s="8" t="s">
        <v>31</v>
      </c>
      <c r="M1294" s="8" t="s">
        <v>34</v>
      </c>
      <c r="P1294" s="9">
        <v>44129.0</v>
      </c>
      <c r="Q1294" s="10">
        <v>0.04861111110949423</v>
      </c>
      <c r="R1294" s="11" t="str">
        <f t="shared" si="1"/>
        <v>Прохождение обучения</v>
      </c>
      <c r="S1294" s="12" t="str">
        <f>iferror(VLOOKUP(C1294,'ФИО'!A:B,2,0),"учётный код не найден")</f>
        <v>Сергеев Алексей Андреевич</v>
      </c>
      <c r="T1294" s="13" t="str">
        <f t="shared" si="2"/>
        <v/>
      </c>
      <c r="W1294" s="17" t="str">
        <f t="shared" ref="W1294:W1299" si="137">IFERROR((((38412/(ifs(O1294&lt;35,35,O1294&gt;34,O1294)/N1294)*0.7))),"Данные не заполены")</f>
        <v>Данные не заполены</v>
      </c>
      <c r="X1294" s="14" t="str">
        <f t="shared" si="123"/>
        <v>Данные не заполены</v>
      </c>
      <c r="Y1294" s="15">
        <f t="shared" si="135"/>
        <v>0</v>
      </c>
    </row>
    <row r="1295" hidden="1">
      <c r="A1295" s="7">
        <v>44130.25471976852</v>
      </c>
      <c r="B1295" s="8" t="s">
        <v>76</v>
      </c>
      <c r="C1295" s="8">
        <v>20693.0</v>
      </c>
      <c r="D1295" s="8" t="s">
        <v>27</v>
      </c>
      <c r="E1295" s="8" t="s">
        <v>68</v>
      </c>
      <c r="L1295" s="8" t="s">
        <v>31</v>
      </c>
      <c r="M1295" s="8" t="s">
        <v>34</v>
      </c>
      <c r="P1295" s="9">
        <v>44129.0</v>
      </c>
      <c r="Q1295" s="10">
        <v>0.04861111110949423</v>
      </c>
      <c r="R1295" s="11" t="str">
        <f t="shared" si="1"/>
        <v>Прохождение обучения</v>
      </c>
      <c r="S1295" s="12" t="str">
        <f>iferror(VLOOKUP(C1295,'ФИО'!A:B,2,0),"учётный код не найден")</f>
        <v>Аникина Раиса Владимировна</v>
      </c>
      <c r="T1295" s="13" t="str">
        <f t="shared" si="2"/>
        <v/>
      </c>
      <c r="W1295" s="17" t="str">
        <f t="shared" si="137"/>
        <v>Данные не заполены</v>
      </c>
      <c r="X1295" s="14" t="str">
        <f t="shared" si="123"/>
        <v>Данные не заполены</v>
      </c>
      <c r="Y1295" s="15">
        <f t="shared" si="135"/>
        <v>0</v>
      </c>
    </row>
    <row r="1296" hidden="1">
      <c r="A1296" s="7">
        <v>44130.305936689816</v>
      </c>
      <c r="B1296" s="8" t="s">
        <v>76</v>
      </c>
      <c r="C1296" s="8">
        <v>21954.0</v>
      </c>
      <c r="D1296" s="8" t="s">
        <v>27</v>
      </c>
      <c r="E1296" s="8" t="s">
        <v>68</v>
      </c>
      <c r="L1296" s="8" t="s">
        <v>31</v>
      </c>
      <c r="M1296" s="8" t="s">
        <v>34</v>
      </c>
      <c r="P1296" s="9">
        <v>44129.0</v>
      </c>
      <c r="Q1296" s="10">
        <v>0.05208333333575865</v>
      </c>
      <c r="R1296" s="11" t="str">
        <f t="shared" si="1"/>
        <v>Прохождение обучения</v>
      </c>
      <c r="S1296" s="12" t="str">
        <f>iferror(VLOOKUP(C1296,'ФИО'!A:B,2,0),"учётный код не найден")</f>
        <v>Александров Александр Викторович</v>
      </c>
      <c r="T1296" s="13" t="str">
        <f t="shared" si="2"/>
        <v/>
      </c>
      <c r="U1296" s="8">
        <v>0.0</v>
      </c>
      <c r="V1296" s="8">
        <v>0.0</v>
      </c>
      <c r="W1296" s="17" t="str">
        <f t="shared" si="137"/>
        <v>Данные не заполены</v>
      </c>
      <c r="X1296" s="14" t="str">
        <f t="shared" si="123"/>
        <v>Данные не заполены</v>
      </c>
      <c r="Y1296" s="15">
        <f t="shared" si="135"/>
        <v>0</v>
      </c>
    </row>
    <row r="1297" hidden="1">
      <c r="A1297" s="7">
        <v>44130.31032225695</v>
      </c>
      <c r="B1297" s="8" t="s">
        <v>76</v>
      </c>
      <c r="C1297" s="8">
        <v>21504.0</v>
      </c>
      <c r="D1297" s="8" t="s">
        <v>27</v>
      </c>
      <c r="E1297" s="8" t="s">
        <v>68</v>
      </c>
      <c r="L1297" s="8" t="s">
        <v>31</v>
      </c>
      <c r="M1297" s="8" t="s">
        <v>34</v>
      </c>
      <c r="P1297" s="9">
        <v>44129.0</v>
      </c>
      <c r="Q1297" s="10">
        <v>0.0625</v>
      </c>
      <c r="R1297" s="11" t="str">
        <f t="shared" si="1"/>
        <v>Прохождение обучения</v>
      </c>
      <c r="S1297" s="12" t="str">
        <f>iferror(VLOOKUP(C1297,'ФИО'!A:B,2,0),"учётный код не найден")</f>
        <v>Александрова Елена Сергеевна</v>
      </c>
      <c r="T1297" s="13" t="str">
        <f t="shared" si="2"/>
        <v/>
      </c>
      <c r="W1297" s="17" t="str">
        <f t="shared" si="137"/>
        <v>Данные не заполены</v>
      </c>
      <c r="X1297" s="14" t="str">
        <f t="shared" si="123"/>
        <v>Данные не заполены</v>
      </c>
      <c r="Y1297" s="15">
        <f t="shared" si="135"/>
        <v>0</v>
      </c>
    </row>
    <row r="1298" hidden="1">
      <c r="A1298" s="7">
        <v>44130.314896655094</v>
      </c>
      <c r="B1298" s="8" t="s">
        <v>76</v>
      </c>
      <c r="C1298" s="8">
        <v>21852.0</v>
      </c>
      <c r="D1298" s="8" t="s">
        <v>27</v>
      </c>
      <c r="E1298" s="8" t="s">
        <v>68</v>
      </c>
      <c r="L1298" s="8" t="s">
        <v>31</v>
      </c>
      <c r="M1298" s="8" t="s">
        <v>34</v>
      </c>
      <c r="P1298" s="9">
        <v>44129.0</v>
      </c>
      <c r="Q1298" s="10">
        <v>0.04166666666424135</v>
      </c>
      <c r="R1298" s="11" t="str">
        <f t="shared" si="1"/>
        <v>Прохождение обучения</v>
      </c>
      <c r="S1298" s="12" t="str">
        <f>iferror(VLOOKUP(C1298,'ФИО'!A:B,2,0),"учётный код не найден")</f>
        <v>Пономарев Юрий Андреевич</v>
      </c>
      <c r="T1298" s="13" t="str">
        <f t="shared" si="2"/>
        <v/>
      </c>
      <c r="W1298" s="17" t="str">
        <f t="shared" si="137"/>
        <v>Данные не заполены</v>
      </c>
      <c r="X1298" s="14" t="str">
        <f t="shared" si="123"/>
        <v>Данные не заполены</v>
      </c>
      <c r="Y1298" s="15">
        <f t="shared" si="135"/>
        <v>0</v>
      </c>
    </row>
    <row r="1299" hidden="1">
      <c r="A1299" s="7">
        <v>44130.78531465278</v>
      </c>
      <c r="B1299" s="8" t="s">
        <v>87</v>
      </c>
      <c r="C1299" s="8">
        <v>20985.0</v>
      </c>
      <c r="D1299" s="8" t="s">
        <v>27</v>
      </c>
      <c r="E1299" s="8" t="s">
        <v>68</v>
      </c>
      <c r="L1299" s="8" t="s">
        <v>31</v>
      </c>
      <c r="M1299" s="8" t="s">
        <v>34</v>
      </c>
      <c r="P1299" s="9">
        <v>44130.0</v>
      </c>
      <c r="Q1299" s="10">
        <v>0.027777777781011537</v>
      </c>
      <c r="R1299" s="11" t="str">
        <f t="shared" si="1"/>
        <v>Прохождение обучения</v>
      </c>
      <c r="S1299" s="12" t="str">
        <f>iferror(VLOOKUP(C1299,'ФИО'!A:B,2,0),"учётный код не найден")</f>
        <v>Никонорова Наталия Владимировна</v>
      </c>
      <c r="T1299" s="13" t="str">
        <f t="shared" si="2"/>
        <v/>
      </c>
      <c r="W1299" s="17" t="str">
        <f t="shared" si="137"/>
        <v>Данные не заполены</v>
      </c>
      <c r="X1299" s="14" t="str">
        <f t="shared" si="123"/>
        <v>Данные не заполены</v>
      </c>
      <c r="Y1299" s="15">
        <f t="shared" si="135"/>
        <v>0</v>
      </c>
    </row>
    <row r="1300" hidden="1">
      <c r="A1300" s="7">
        <v>44122.80608673611</v>
      </c>
      <c r="B1300" s="8" t="s">
        <v>87</v>
      </c>
      <c r="C1300" s="8">
        <v>22575.0</v>
      </c>
      <c r="D1300" s="8" t="s">
        <v>69</v>
      </c>
      <c r="F1300" s="8" t="s">
        <v>80</v>
      </c>
      <c r="G1300" s="8">
        <v>3750.0</v>
      </c>
      <c r="H1300" s="8" t="s">
        <v>45</v>
      </c>
      <c r="K1300" s="8" t="s">
        <v>46</v>
      </c>
      <c r="L1300" s="8" t="s">
        <v>37</v>
      </c>
      <c r="P1300" s="9">
        <v>44122.0</v>
      </c>
      <c r="Q1300" s="10">
        <v>0.14583333333575865</v>
      </c>
      <c r="R1300" s="11" t="str">
        <f t="shared" si="1"/>
        <v>Пайка компонентов SEC</v>
      </c>
      <c r="S1300" s="16" t="str">
        <f>iferror(VLOOKUP(C1300,'ФИО'!A:B,2,0),"учётный код не найден")</f>
        <v>Куликов Виктор Алексеевич</v>
      </c>
      <c r="T1300" s="13" t="str">
        <f t="shared" si="2"/>
        <v>ПУ 910-00349.A "Печатный узел основного блока E96 4LIN"</v>
      </c>
      <c r="U1300" s="8">
        <v>0.0</v>
      </c>
      <c r="V1300" s="8">
        <v>0.0</v>
      </c>
      <c r="X1300" s="14" t="str">
        <f t="shared" si="123"/>
        <v>Данные не заполены</v>
      </c>
      <c r="Y1300" s="15">
        <f t="shared" si="135"/>
        <v>0</v>
      </c>
    </row>
    <row r="1301" hidden="1">
      <c r="A1301" s="7">
        <v>44130.82434038194</v>
      </c>
      <c r="B1301" s="8" t="s">
        <v>87</v>
      </c>
      <c r="C1301" s="8">
        <v>21928.0</v>
      </c>
      <c r="D1301" s="8" t="s">
        <v>27</v>
      </c>
      <c r="E1301" s="8" t="s">
        <v>68</v>
      </c>
      <c r="L1301" s="8" t="s">
        <v>31</v>
      </c>
      <c r="M1301" s="8" t="s">
        <v>34</v>
      </c>
      <c r="P1301" s="9">
        <v>44130.0</v>
      </c>
      <c r="Q1301" s="10">
        <v>0.027777777781011537</v>
      </c>
      <c r="R1301" s="11" t="str">
        <f t="shared" si="1"/>
        <v>Прохождение обучения</v>
      </c>
      <c r="S1301" s="12" t="str">
        <f>iferror(VLOOKUP(C1301,'ФИО'!A:B,2,0),"учётный код не найден")</f>
        <v>Савченко Виктория Андреевна</v>
      </c>
      <c r="T1301" s="13" t="str">
        <f t="shared" si="2"/>
        <v/>
      </c>
      <c r="W1301" s="17" t="str">
        <f t="shared" ref="W1301:W1303" si="138">IFERROR((((38412/(ifs(O1301&lt;35,35,O1301&gt;34,O1301)/N1301)*0.7))),"Данные не заполены")</f>
        <v>Данные не заполены</v>
      </c>
      <c r="X1301" s="14" t="str">
        <f t="shared" si="123"/>
        <v>Данные не заполены</v>
      </c>
      <c r="Y1301" s="15">
        <f t="shared" si="135"/>
        <v>0</v>
      </c>
    </row>
    <row r="1302" hidden="1">
      <c r="A1302" s="7">
        <v>44131.55434037037</v>
      </c>
      <c r="B1302" s="8" t="s">
        <v>87</v>
      </c>
      <c r="C1302" s="8">
        <v>22721.0</v>
      </c>
      <c r="D1302" s="8" t="s">
        <v>27</v>
      </c>
      <c r="E1302" s="8" t="s">
        <v>68</v>
      </c>
      <c r="L1302" s="8" t="s">
        <v>31</v>
      </c>
      <c r="M1302" s="8" t="s">
        <v>34</v>
      </c>
      <c r="P1302" s="9">
        <v>44130.0</v>
      </c>
      <c r="Q1302" s="10">
        <v>0.33333333333575865</v>
      </c>
      <c r="R1302" s="11" t="str">
        <f t="shared" si="1"/>
        <v>Прохождение обучения</v>
      </c>
      <c r="S1302" s="12" t="str">
        <f>iferror(VLOOKUP(C1302,'ФИО'!A:B,2,0),"учётный код не найден")</f>
        <v>Заславский Антон Игоревич</v>
      </c>
      <c r="T1302" s="13" t="str">
        <f t="shared" si="2"/>
        <v/>
      </c>
      <c r="W1302" s="17" t="str">
        <f t="shared" si="138"/>
        <v>Данные не заполены</v>
      </c>
      <c r="X1302" s="14" t="str">
        <f t="shared" si="123"/>
        <v>Данные не заполены</v>
      </c>
      <c r="Y1302" s="15">
        <f t="shared" si="135"/>
        <v>0</v>
      </c>
    </row>
    <row r="1303" hidden="1">
      <c r="A1303" s="7">
        <v>44131.75086638889</v>
      </c>
      <c r="B1303" s="8" t="s">
        <v>87</v>
      </c>
      <c r="C1303" s="8">
        <v>22721.0</v>
      </c>
      <c r="D1303" s="8" t="s">
        <v>27</v>
      </c>
      <c r="E1303" s="8" t="s">
        <v>68</v>
      </c>
      <c r="L1303" s="8" t="s">
        <v>31</v>
      </c>
      <c r="M1303" s="8" t="s">
        <v>34</v>
      </c>
      <c r="P1303" s="9">
        <v>44131.0</v>
      </c>
      <c r="Q1303" s="10">
        <v>0.33333333333575865</v>
      </c>
      <c r="R1303" s="11" t="str">
        <f t="shared" si="1"/>
        <v>Прохождение обучения</v>
      </c>
      <c r="S1303" s="12" t="str">
        <f>iferror(VLOOKUP(C1303,'ФИО'!A:B,2,0),"учётный код не найден")</f>
        <v>Заславский Антон Игоревич</v>
      </c>
      <c r="T1303" s="13" t="str">
        <f t="shared" si="2"/>
        <v/>
      </c>
      <c r="W1303" s="17" t="str">
        <f t="shared" si="138"/>
        <v>Данные не заполены</v>
      </c>
      <c r="X1303" s="14" t="str">
        <f t="shared" si="123"/>
        <v>Данные не заполены</v>
      </c>
      <c r="Y1303" s="15">
        <f t="shared" si="135"/>
        <v>0</v>
      </c>
    </row>
    <row r="1304" hidden="1">
      <c r="A1304" s="7">
        <v>44122.831430439815</v>
      </c>
      <c r="B1304" s="8" t="s">
        <v>87</v>
      </c>
      <c r="C1304" s="8">
        <v>22575.0</v>
      </c>
      <c r="D1304" s="8" t="s">
        <v>27</v>
      </c>
      <c r="E1304" s="8" t="s">
        <v>88</v>
      </c>
      <c r="G1304" s="8">
        <v>3754.0</v>
      </c>
      <c r="H1304" s="8" t="s">
        <v>45</v>
      </c>
      <c r="K1304" s="8" t="s">
        <v>124</v>
      </c>
      <c r="L1304" s="8" t="s">
        <v>37</v>
      </c>
      <c r="P1304" s="9">
        <v>44122.0</v>
      </c>
      <c r="Q1304" s="10">
        <v>0.28472222221898846</v>
      </c>
      <c r="R1304" s="11" t="str">
        <f t="shared" si="1"/>
        <v>Сборка на линии Sec</v>
      </c>
      <c r="S1304" s="16" t="str">
        <f>iferror(VLOOKUP(C1304,'ФИО'!A:B,2,0),"учётный код не найден")</f>
        <v>Куликов Виктор Алексеевич</v>
      </c>
      <c r="T1304" s="13" t="str">
        <f t="shared" si="2"/>
        <v>ПУ 910-00120.D - Печатный узел модуля 2CAN+LIN</v>
      </c>
      <c r="U1304" s="8">
        <v>0.0</v>
      </c>
      <c r="V1304" s="8">
        <v>0.0</v>
      </c>
      <c r="X1304" s="14" t="str">
        <f t="shared" si="123"/>
        <v>Данные не заполены</v>
      </c>
      <c r="Y1304" s="15">
        <f t="shared" si="135"/>
        <v>0</v>
      </c>
    </row>
    <row r="1305" hidden="1">
      <c r="A1305" s="7">
        <v>44131.81533541667</v>
      </c>
      <c r="B1305" s="8" t="s">
        <v>87</v>
      </c>
      <c r="C1305" s="8">
        <v>21426.0</v>
      </c>
      <c r="D1305" s="8" t="s">
        <v>27</v>
      </c>
      <c r="E1305" s="8" t="s">
        <v>68</v>
      </c>
      <c r="L1305" s="8" t="s">
        <v>31</v>
      </c>
      <c r="M1305" s="8" t="s">
        <v>34</v>
      </c>
      <c r="P1305" s="9">
        <v>44131.0</v>
      </c>
      <c r="Q1305" s="10">
        <v>0.020833333335758653</v>
      </c>
      <c r="R1305" s="11" t="str">
        <f t="shared" si="1"/>
        <v>Прохождение обучения</v>
      </c>
      <c r="S1305" s="12" t="str">
        <f>iferror(VLOOKUP(C1305,'ФИО'!A:B,2,0),"учётный код не найден")</f>
        <v>Скибинский Антон Германович</v>
      </c>
      <c r="T1305" s="13" t="str">
        <f t="shared" si="2"/>
        <v/>
      </c>
      <c r="W1305" s="17" t="str">
        <f t="shared" ref="W1305:W1308" si="139">IFERROR((((38412/(ifs(O1305&lt;35,35,O1305&gt;34,O1305)/N1305)*0.7))),"Данные не заполены")</f>
        <v>Данные не заполены</v>
      </c>
      <c r="X1305" s="14" t="str">
        <f t="shared" si="123"/>
        <v>Данные не заполены</v>
      </c>
      <c r="Y1305" s="15">
        <f t="shared" si="135"/>
        <v>0</v>
      </c>
    </row>
    <row r="1306" hidden="1">
      <c r="A1306" s="7">
        <v>44131.82795136574</v>
      </c>
      <c r="B1306" s="8" t="s">
        <v>87</v>
      </c>
      <c r="C1306" s="8">
        <v>21928.0</v>
      </c>
      <c r="D1306" s="8" t="s">
        <v>27</v>
      </c>
      <c r="E1306" s="8" t="s">
        <v>68</v>
      </c>
      <c r="L1306" s="8" t="s">
        <v>31</v>
      </c>
      <c r="M1306" s="8" t="s">
        <v>34</v>
      </c>
      <c r="P1306" s="9">
        <v>44131.0</v>
      </c>
      <c r="Q1306" s="10">
        <v>0.020833333335758653</v>
      </c>
      <c r="R1306" s="11" t="str">
        <f t="shared" si="1"/>
        <v>Прохождение обучения</v>
      </c>
      <c r="S1306" s="12" t="str">
        <f>iferror(VLOOKUP(C1306,'ФИО'!A:B,2,0),"учётный код не найден")</f>
        <v>Савченко Виктория Андреевна</v>
      </c>
      <c r="T1306" s="13" t="str">
        <f t="shared" si="2"/>
        <v/>
      </c>
      <c r="W1306" s="17" t="str">
        <f t="shared" si="139"/>
        <v>Данные не заполены</v>
      </c>
      <c r="X1306" s="14" t="str">
        <f t="shared" si="123"/>
        <v>Данные не заполены</v>
      </c>
      <c r="Y1306" s="15">
        <f t="shared" si="135"/>
        <v>0</v>
      </c>
    </row>
    <row r="1307" hidden="1">
      <c r="A1307" s="7">
        <v>44121.8315143287</v>
      </c>
      <c r="B1307" s="8" t="s">
        <v>26</v>
      </c>
      <c r="C1307" s="8">
        <v>21475.0</v>
      </c>
      <c r="D1307" s="8" t="s">
        <v>69</v>
      </c>
      <c r="F1307" s="8" t="s">
        <v>290</v>
      </c>
      <c r="G1307" s="8">
        <v>3750.0</v>
      </c>
      <c r="H1307" s="8" t="s">
        <v>45</v>
      </c>
      <c r="K1307" s="8" t="s">
        <v>46</v>
      </c>
      <c r="L1307" s="8" t="s">
        <v>37</v>
      </c>
      <c r="P1307" s="9">
        <v>44121.0</v>
      </c>
      <c r="Q1307" s="10">
        <v>0.125</v>
      </c>
      <c r="R1307" s="11" t="str">
        <f t="shared" si="1"/>
        <v>Установка компонентов  на платы (ручная) PRI</v>
      </c>
      <c r="S1307" s="16" t="str">
        <f>iferror(VLOOKUP(C1307,'ФИО'!A:B,2,0),"учётный код не найден")</f>
        <v>Байрамашвили Альберт Зурабович</v>
      </c>
      <c r="T1307" s="13" t="str">
        <f t="shared" si="2"/>
        <v>ПУ 910-00349.A "Печатный узел основного блока E96 4LIN"</v>
      </c>
      <c r="U1307" s="8">
        <v>200.0</v>
      </c>
      <c r="V1307" s="8">
        <v>0.0</v>
      </c>
      <c r="W1307" s="17" t="str">
        <f t="shared" si="139"/>
        <v>Данные не заполены</v>
      </c>
      <c r="X1307" s="14" t="str">
        <f t="shared" si="123"/>
        <v>Данные не заполены</v>
      </c>
      <c r="Y1307" s="15">
        <f t="shared" si="135"/>
        <v>0</v>
      </c>
    </row>
    <row r="1308" hidden="1">
      <c r="A1308" s="7">
        <v>44109.33010416667</v>
      </c>
      <c r="B1308" s="8" t="s">
        <v>38</v>
      </c>
      <c r="C1308" s="8">
        <v>21752.0</v>
      </c>
      <c r="D1308" s="8" t="s">
        <v>27</v>
      </c>
      <c r="E1308" s="8" t="s">
        <v>62</v>
      </c>
      <c r="G1308" s="8">
        <v>3233.0</v>
      </c>
      <c r="H1308" s="8" t="s">
        <v>29</v>
      </c>
      <c r="I1308" s="8" t="s">
        <v>60</v>
      </c>
      <c r="L1308" s="8" t="s">
        <v>37</v>
      </c>
      <c r="P1308" s="9">
        <v>44108.0</v>
      </c>
      <c r="Q1308" s="10">
        <v>0.020833333335758653</v>
      </c>
      <c r="R1308" s="11" t="str">
        <f t="shared" si="1"/>
        <v>ReviewStation pri</v>
      </c>
      <c r="S1308" s="16" t="str">
        <f>iferror(VLOOKUP(C1308,'ФИО'!A:B,2,0),"учётный код не найден")</f>
        <v>Егоров Александр Александрович</v>
      </c>
      <c r="T1308" s="13" t="str">
        <f t="shared" si="2"/>
        <v>915-00102.A - ПБОК-2В АСЛБ.465285.013 (Квант)</v>
      </c>
      <c r="U1308" s="8">
        <v>12.0</v>
      </c>
      <c r="V1308" s="8">
        <v>0.0</v>
      </c>
      <c r="W1308" s="21" t="str">
        <f t="shared" si="139"/>
        <v>Данные не заполены</v>
      </c>
      <c r="X1308" s="15" t="str">
        <f t="shared" si="123"/>
        <v>Данные не заполены</v>
      </c>
      <c r="Y1308" s="15">
        <f t="shared" si="135"/>
        <v>0</v>
      </c>
    </row>
    <row r="1309" hidden="1">
      <c r="A1309" s="7">
        <v>44132.31552981482</v>
      </c>
      <c r="B1309" s="8" t="s">
        <v>26</v>
      </c>
      <c r="C1309" s="8">
        <v>21522.0</v>
      </c>
      <c r="D1309" s="8" t="s">
        <v>27</v>
      </c>
      <c r="E1309" s="8" t="s">
        <v>68</v>
      </c>
      <c r="L1309" s="8" t="s">
        <v>31</v>
      </c>
      <c r="M1309" s="8" t="s">
        <v>34</v>
      </c>
      <c r="P1309" s="9">
        <v>44131.0</v>
      </c>
      <c r="Q1309" s="10">
        <v>0.03125</v>
      </c>
      <c r="R1309" s="11" t="str">
        <f t="shared" si="1"/>
        <v>Прохождение обучения</v>
      </c>
      <c r="S1309" s="12" t="str">
        <f>iferror(VLOOKUP(C1309,'ФИО'!A:B,2,0),"учётный код не найден")</f>
        <v>Исаев Никита Дмитриевич</v>
      </c>
      <c r="T1309" s="13" t="str">
        <f t="shared" si="2"/>
        <v/>
      </c>
      <c r="X1309" s="14" t="str">
        <f t="shared" si="123"/>
        <v>Данные не заполены</v>
      </c>
      <c r="Y1309" s="15">
        <f t="shared" si="135"/>
        <v>0</v>
      </c>
    </row>
    <row r="1310" hidden="1">
      <c r="A1310" s="7">
        <v>44129.821652604165</v>
      </c>
      <c r="B1310" s="8" t="s">
        <v>26</v>
      </c>
      <c r="C1310" s="8">
        <v>22087.0</v>
      </c>
      <c r="D1310" s="8" t="s">
        <v>27</v>
      </c>
      <c r="E1310" s="8" t="s">
        <v>111</v>
      </c>
      <c r="L1310" s="8" t="s">
        <v>31</v>
      </c>
      <c r="M1310" s="8" t="s">
        <v>291</v>
      </c>
      <c r="P1310" s="9">
        <v>44129.0</v>
      </c>
      <c r="Q1310" s="10">
        <v>0.020833333335758653</v>
      </c>
      <c r="R1310" s="11" t="str">
        <f t="shared" si="1"/>
        <v>Уборка линии</v>
      </c>
      <c r="S1310" s="12" t="str">
        <f>iferror(VLOOKUP(C1310,'ФИО'!A:B,2,0),"учётный код не найден")</f>
        <v>Хохряков Илья Александрович</v>
      </c>
      <c r="T1310" s="13" t="str">
        <f t="shared" si="2"/>
        <v/>
      </c>
      <c r="X1310" s="14" t="str">
        <f t="shared" si="123"/>
        <v>Данные не заполены</v>
      </c>
      <c r="Y1310" s="15">
        <f t="shared" si="135"/>
        <v>0</v>
      </c>
    </row>
    <row r="1311" hidden="1">
      <c r="A1311" s="7">
        <v>44122.83168195601</v>
      </c>
      <c r="B1311" s="8" t="s">
        <v>87</v>
      </c>
      <c r="C1311" s="8">
        <v>22575.0</v>
      </c>
      <c r="D1311" s="8" t="s">
        <v>27</v>
      </c>
      <c r="E1311" s="8" t="s">
        <v>111</v>
      </c>
      <c r="L1311" s="8" t="s">
        <v>31</v>
      </c>
      <c r="M1311" s="8" t="s">
        <v>34</v>
      </c>
      <c r="P1311" s="9">
        <v>44122.0</v>
      </c>
      <c r="Q1311" s="10">
        <v>0.006944444445252884</v>
      </c>
      <c r="R1311" s="11" t="str">
        <f t="shared" si="1"/>
        <v>Уборка линии</v>
      </c>
      <c r="S1311" s="16" t="str">
        <f>iferror(VLOOKUP(C1311,'ФИО'!A:B,2,0),"учётный код не найден")</f>
        <v>Куликов Виктор Алексеевич</v>
      </c>
      <c r="T1311" s="13" t="str">
        <f t="shared" si="2"/>
        <v/>
      </c>
      <c r="X1311" s="14" t="str">
        <f t="shared" si="123"/>
        <v>Данные не заполены</v>
      </c>
      <c r="Y1311" s="15">
        <f t="shared" si="135"/>
        <v>0</v>
      </c>
    </row>
    <row r="1312" hidden="1">
      <c r="A1312" s="7">
        <v>44131.81851271991</v>
      </c>
      <c r="B1312" s="8" t="s">
        <v>87</v>
      </c>
      <c r="C1312" s="8">
        <v>21426.0</v>
      </c>
      <c r="D1312" s="8" t="s">
        <v>27</v>
      </c>
      <c r="E1312" s="8" t="s">
        <v>201</v>
      </c>
      <c r="G1312" s="8">
        <v>3793.0</v>
      </c>
      <c r="H1312" s="8" t="s">
        <v>29</v>
      </c>
      <c r="I1312" s="8" t="s">
        <v>163</v>
      </c>
      <c r="L1312" s="8" t="s">
        <v>31</v>
      </c>
      <c r="M1312" s="8" t="s">
        <v>34</v>
      </c>
      <c r="P1312" s="9">
        <v>44131.0</v>
      </c>
      <c r="Q1312" s="10">
        <v>0.006944444445252884</v>
      </c>
      <c r="R1312" s="11" t="str">
        <f t="shared" si="1"/>
        <v>Разрядка питателей Prim</v>
      </c>
      <c r="S1312" s="12" t="str">
        <f>iferror(VLOOKUP(C1312,'ФИО'!A:B,2,0),"учётный код не найден")</f>
        <v>Скибинский Антон Германович</v>
      </c>
      <c r="T1312" s="13" t="str">
        <f t="shared" si="2"/>
        <v>915-00068.A - uklsip(s)220_v3.01 (Гефест)</v>
      </c>
      <c r="U1312" s="8">
        <v>22.0</v>
      </c>
      <c r="V1312" s="8">
        <v>0.0</v>
      </c>
      <c r="W1312" s="17">
        <v>1320.0</v>
      </c>
      <c r="X1312" s="14">
        <f t="shared" si="123"/>
        <v>1.1</v>
      </c>
      <c r="Y1312" s="15">
        <f t="shared" si="135"/>
        <v>0</v>
      </c>
    </row>
    <row r="1313" hidden="1">
      <c r="A1313" s="7">
        <v>44126.21009438657</v>
      </c>
      <c r="B1313" s="8" t="s">
        <v>94</v>
      </c>
      <c r="C1313" s="8">
        <v>22575.0</v>
      </c>
      <c r="D1313" s="8" t="s">
        <v>27</v>
      </c>
      <c r="E1313" s="8" t="s">
        <v>201</v>
      </c>
      <c r="G1313" s="8">
        <v>3252.0</v>
      </c>
      <c r="H1313" s="8" t="s">
        <v>29</v>
      </c>
      <c r="I1313" s="8" t="s">
        <v>96</v>
      </c>
      <c r="L1313" s="8" t="s">
        <v>31</v>
      </c>
      <c r="M1313" s="8" t="s">
        <v>34</v>
      </c>
      <c r="P1313" s="9">
        <v>44125.0</v>
      </c>
      <c r="Q1313" s="10">
        <v>0.017361111111111112</v>
      </c>
      <c r="R1313" s="11" t="str">
        <f t="shared" si="1"/>
        <v>Разрядка питателей Prim</v>
      </c>
      <c r="S1313" s="16" t="str">
        <f>iferror(VLOOKUP(C1313,'ФИО'!A:B,2,0),"учётный код не найден")</f>
        <v>Куликов Виктор Алексеевич</v>
      </c>
      <c r="T1313" s="13" t="str">
        <f t="shared" si="2"/>
        <v>915-00096.A - ПКД-8В-2 АСЛБ.467249.109</v>
      </c>
      <c r="U1313" s="8">
        <v>55.0</v>
      </c>
      <c r="V1313" s="8">
        <v>0.0</v>
      </c>
      <c r="W1313" s="17">
        <v>1320.0</v>
      </c>
      <c r="X1313" s="14">
        <f t="shared" si="123"/>
        <v>1.1</v>
      </c>
      <c r="Y1313" s="15">
        <f t="shared" si="135"/>
        <v>0</v>
      </c>
    </row>
    <row r="1314" hidden="1">
      <c r="A1314" s="7">
        <v>44119.80724350695</v>
      </c>
      <c r="B1314" s="8" t="s">
        <v>89</v>
      </c>
      <c r="C1314" s="8">
        <v>20693.0</v>
      </c>
      <c r="D1314" s="8" t="s">
        <v>27</v>
      </c>
      <c r="E1314" s="8" t="s">
        <v>112</v>
      </c>
      <c r="G1314" s="8">
        <v>3622.0</v>
      </c>
      <c r="H1314" s="8" t="s">
        <v>29</v>
      </c>
      <c r="I1314" s="8" t="s">
        <v>90</v>
      </c>
      <c r="L1314" s="8" t="s">
        <v>31</v>
      </c>
      <c r="M1314" s="8" t="s">
        <v>34</v>
      </c>
      <c r="P1314" s="9">
        <v>44119.0</v>
      </c>
      <c r="Q1314" s="10">
        <v>0.010416666664241347</v>
      </c>
      <c r="R1314" s="11" t="str">
        <f t="shared" si="1"/>
        <v>Разрядка питателей Sec</v>
      </c>
      <c r="S1314" s="16" t="str">
        <f>iferror(VLOOKUP(C1314,'ФИО'!A:B,2,0),"учётный код не найден")</f>
        <v>Аникина Раиса Владимировна</v>
      </c>
      <c r="T1314" s="13" t="str">
        <f t="shared" si="2"/>
        <v>915-00124.A - Tioga Pass_v1.1 (Гагар.ин)</v>
      </c>
      <c r="U1314" s="8">
        <v>30.0</v>
      </c>
      <c r="V1314" s="8">
        <v>0.0</v>
      </c>
      <c r="W1314" s="17" t="str">
        <f t="shared" ref="W1314:W1319" si="140">IFERROR((((38412/(ifs(O1314&lt;35,35,O1314&gt;34,O1314)/N1314)*0.7))),"Данные не заполены")</f>
        <v>Данные не заполены</v>
      </c>
      <c r="X1314" s="14" t="str">
        <f t="shared" si="123"/>
        <v>Данные не заполены</v>
      </c>
      <c r="Y1314" s="15">
        <f t="shared" si="135"/>
        <v>0</v>
      </c>
    </row>
    <row r="1315" hidden="1">
      <c r="A1315" s="7">
        <v>44117.33036791667</v>
      </c>
      <c r="B1315" s="8" t="s">
        <v>38</v>
      </c>
      <c r="C1315" s="8">
        <v>22087.0</v>
      </c>
      <c r="D1315" s="8" t="s">
        <v>27</v>
      </c>
      <c r="E1315" s="8" t="s">
        <v>62</v>
      </c>
      <c r="G1315" s="8">
        <v>3750.0</v>
      </c>
      <c r="H1315" s="8" t="s">
        <v>45</v>
      </c>
      <c r="K1315" s="8" t="s">
        <v>46</v>
      </c>
      <c r="L1315" s="8" t="s">
        <v>31</v>
      </c>
      <c r="M1315" s="8" t="s">
        <v>34</v>
      </c>
      <c r="N1315" s="8"/>
      <c r="O1315" s="8"/>
      <c r="P1315" s="9">
        <v>44116.0</v>
      </c>
      <c r="Q1315" s="10">
        <v>0.14583333333575865</v>
      </c>
      <c r="R1315" s="11" t="str">
        <f t="shared" si="1"/>
        <v>ReviewStation pri</v>
      </c>
      <c r="S1315" s="16" t="str">
        <f>iferror(VLOOKUP(C1315,'ФИО'!A:B,2,0),"учётный код не найден")</f>
        <v>Хохряков Илья Александрович</v>
      </c>
      <c r="T1315" s="13" t="str">
        <f t="shared" si="2"/>
        <v>ПУ 910-00349.A "Печатный узел основного блока E96 4LIN"</v>
      </c>
      <c r="U1315" s="8">
        <v>0.0</v>
      </c>
      <c r="V1315" s="8">
        <v>368.0</v>
      </c>
      <c r="W1315" s="21" t="str">
        <f t="shared" si="140"/>
        <v>Данные не заполены</v>
      </c>
      <c r="X1315" s="15" t="str">
        <f t="shared" si="123"/>
        <v>Данные не заполены</v>
      </c>
      <c r="Y1315" s="15">
        <f t="shared" si="135"/>
        <v>368</v>
      </c>
      <c r="Z1315" s="8" t="s">
        <v>64</v>
      </c>
    </row>
    <row r="1316" hidden="1">
      <c r="A1316" s="7">
        <v>44110.822206550925</v>
      </c>
      <c r="B1316" s="8" t="s">
        <v>89</v>
      </c>
      <c r="C1316" s="8">
        <v>21954.0</v>
      </c>
      <c r="D1316" s="8" t="s">
        <v>27</v>
      </c>
      <c r="E1316" s="8" t="s">
        <v>67</v>
      </c>
      <c r="G1316" s="8">
        <v>3234.0</v>
      </c>
      <c r="H1316" s="8" t="s">
        <v>29</v>
      </c>
      <c r="I1316" s="8" t="s">
        <v>60</v>
      </c>
      <c r="L1316" s="8" t="s">
        <v>37</v>
      </c>
      <c r="P1316" s="9">
        <v>44110.0</v>
      </c>
      <c r="Q1316" s="10">
        <v>0.125</v>
      </c>
      <c r="R1316" s="11" t="str">
        <f t="shared" si="1"/>
        <v>Сборка на линии Prim</v>
      </c>
      <c r="S1316" s="16" t="str">
        <f>iferror(VLOOKUP(C1316,'ФИО'!A:B,2,0),"учётный код не найден")</f>
        <v>Александров Александр Викторович</v>
      </c>
      <c r="T1316" s="13" t="str">
        <f t="shared" si="2"/>
        <v>915-00102.A - ПБОК-2В АСЛБ.465285.013 (Квант)</v>
      </c>
      <c r="U1316" s="8">
        <v>0.0</v>
      </c>
      <c r="V1316" s="8">
        <v>0.0</v>
      </c>
      <c r="W1316" s="21" t="str">
        <f t="shared" si="140"/>
        <v>Данные не заполены</v>
      </c>
      <c r="X1316" s="15" t="str">
        <f t="shared" si="123"/>
        <v>Данные не заполены</v>
      </c>
      <c r="Y1316" s="15">
        <f t="shared" si="135"/>
        <v>0</v>
      </c>
    </row>
    <row r="1317" hidden="1">
      <c r="A1317" s="7">
        <v>44110.82772670139</v>
      </c>
      <c r="B1317" s="8" t="s">
        <v>89</v>
      </c>
      <c r="C1317" s="8">
        <v>20693.0</v>
      </c>
      <c r="D1317" s="8" t="s">
        <v>27</v>
      </c>
      <c r="E1317" s="8" t="s">
        <v>67</v>
      </c>
      <c r="G1317" s="8">
        <v>3234.0</v>
      </c>
      <c r="H1317" s="8" t="s">
        <v>29</v>
      </c>
      <c r="I1317" s="8" t="s">
        <v>135</v>
      </c>
      <c r="L1317" s="8" t="s">
        <v>37</v>
      </c>
      <c r="P1317" s="9">
        <v>44110.0</v>
      </c>
      <c r="Q1317" s="10">
        <v>0.125</v>
      </c>
      <c r="R1317" s="11" t="str">
        <f t="shared" si="1"/>
        <v>Сборка на линии Prim</v>
      </c>
      <c r="S1317" s="16" t="str">
        <f>iferror(VLOOKUP(C1317,'ФИО'!A:B,2,0),"учётный код не найден")</f>
        <v>Аникина Раиса Владимировна</v>
      </c>
      <c r="T1317" s="13" t="str">
        <f t="shared" si="2"/>
        <v>915-00101.A - ПКД-9В АСЛБ.467249.107 (Квант)</v>
      </c>
      <c r="U1317" s="8">
        <v>0.0</v>
      </c>
      <c r="V1317" s="8">
        <v>0.0</v>
      </c>
      <c r="W1317" s="21" t="str">
        <f t="shared" si="140"/>
        <v>Данные не заполены</v>
      </c>
      <c r="X1317" s="15" t="str">
        <f t="shared" si="123"/>
        <v>Данные не заполены</v>
      </c>
      <c r="Y1317" s="15">
        <f t="shared" si="135"/>
        <v>0</v>
      </c>
    </row>
    <row r="1318" hidden="1">
      <c r="A1318" s="7">
        <v>44111.26945414352</v>
      </c>
      <c r="B1318" s="8" t="s">
        <v>94</v>
      </c>
      <c r="C1318" s="8">
        <v>22131.0</v>
      </c>
      <c r="D1318" s="8" t="s">
        <v>27</v>
      </c>
      <c r="E1318" s="8" t="s">
        <v>67</v>
      </c>
      <c r="G1318" s="8">
        <v>3234.0</v>
      </c>
      <c r="H1318" s="8" t="s">
        <v>29</v>
      </c>
      <c r="I1318" s="8" t="s">
        <v>135</v>
      </c>
      <c r="L1318" s="8" t="s">
        <v>31</v>
      </c>
      <c r="M1318" s="8" t="s">
        <v>149</v>
      </c>
      <c r="N1318" s="8"/>
      <c r="O1318" s="8"/>
      <c r="P1318" s="9">
        <v>44110.0</v>
      </c>
      <c r="Q1318" s="10">
        <v>0.04166666666424135</v>
      </c>
      <c r="R1318" s="11" t="str">
        <f t="shared" si="1"/>
        <v>Сборка на линии Prim</v>
      </c>
      <c r="S1318" s="16" t="str">
        <f>iferror(VLOOKUP(C1318,'ФИО'!A:B,2,0),"учётный код не найден")</f>
        <v>Стосик Степан Владимирович</v>
      </c>
      <c r="T1318" s="13" t="str">
        <f t="shared" si="2"/>
        <v>915-00101.A - ПКД-9В АСЛБ.467249.107 (Квант)</v>
      </c>
      <c r="U1318" s="8">
        <v>0.0</v>
      </c>
      <c r="V1318" s="8">
        <v>0.0</v>
      </c>
      <c r="W1318" s="21" t="str">
        <f t="shared" si="140"/>
        <v>Данные не заполены</v>
      </c>
      <c r="X1318" s="15" t="str">
        <f t="shared" si="123"/>
        <v>Данные не заполены</v>
      </c>
      <c r="Y1318" s="15">
        <f t="shared" si="135"/>
        <v>0</v>
      </c>
      <c r="Z1318" s="8" t="s">
        <v>149</v>
      </c>
    </row>
    <row r="1319" hidden="1">
      <c r="A1319" s="7">
        <v>44111.30995871528</v>
      </c>
      <c r="B1319" s="8" t="s">
        <v>94</v>
      </c>
      <c r="C1319" s="8">
        <v>22131.0</v>
      </c>
      <c r="D1319" s="8" t="s">
        <v>27</v>
      </c>
      <c r="E1319" s="8" t="s">
        <v>67</v>
      </c>
      <c r="G1319" s="8">
        <v>3580.0</v>
      </c>
      <c r="H1319" s="8" t="s">
        <v>29</v>
      </c>
      <c r="I1319" s="8" t="s">
        <v>145</v>
      </c>
      <c r="L1319" s="8" t="s">
        <v>37</v>
      </c>
      <c r="P1319" s="9">
        <v>44110.0</v>
      </c>
      <c r="Q1319" s="10">
        <v>0.020833333335758653</v>
      </c>
      <c r="R1319" s="11" t="str">
        <f t="shared" si="1"/>
        <v>Сборка на линии Prim</v>
      </c>
      <c r="S1319" s="16" t="str">
        <f>iferror(VLOOKUP(C1319,'ФИО'!A:B,2,0),"учётный код не найден")</f>
        <v>Стосик Степан Владимирович</v>
      </c>
      <c r="T1319" s="13" t="str">
        <f t="shared" si="2"/>
        <v>XR (OÜ KLARBERG)</v>
      </c>
      <c r="U1319" s="8">
        <v>0.0</v>
      </c>
      <c r="V1319" s="8">
        <v>0.0</v>
      </c>
      <c r="W1319" s="21" t="str">
        <f t="shared" si="140"/>
        <v>Данные не заполены</v>
      </c>
      <c r="X1319" s="15" t="str">
        <f t="shared" si="123"/>
        <v>Данные не заполены</v>
      </c>
      <c r="Y1319" s="15">
        <f t="shared" si="135"/>
        <v>0</v>
      </c>
    </row>
    <row r="1320" hidden="1">
      <c r="A1320" s="7">
        <v>44126.21195561343</v>
      </c>
      <c r="B1320" s="8" t="s">
        <v>94</v>
      </c>
      <c r="C1320" s="8">
        <v>22575.0</v>
      </c>
      <c r="D1320" s="8" t="s">
        <v>27</v>
      </c>
      <c r="E1320" s="8" t="s">
        <v>82</v>
      </c>
      <c r="G1320" s="8">
        <v>3252.0</v>
      </c>
      <c r="H1320" s="8" t="s">
        <v>29</v>
      </c>
      <c r="I1320" s="8" t="s">
        <v>96</v>
      </c>
      <c r="L1320" s="8" t="s">
        <v>31</v>
      </c>
      <c r="M1320" s="8" t="s">
        <v>34</v>
      </c>
      <c r="P1320" s="9">
        <v>44125.0</v>
      </c>
      <c r="Q1320" s="10">
        <v>0.04513888888888889</v>
      </c>
      <c r="R1320" s="11" t="str">
        <f t="shared" si="1"/>
        <v>Настройка установщиков</v>
      </c>
      <c r="S1320" s="16" t="str">
        <f>iferror(VLOOKUP(C1320,'ФИО'!A:B,2,0),"учётный код не найден")</f>
        <v>Куликов Виктор Алексеевич</v>
      </c>
      <c r="T1320" s="13" t="str">
        <f t="shared" si="2"/>
        <v>915-00096.A - ПКД-8В-2 АСЛБ.467249.109</v>
      </c>
      <c r="U1320" s="8">
        <v>2.0</v>
      </c>
      <c r="V1320" s="8">
        <v>0.0</v>
      </c>
      <c r="W1320" s="17">
        <v>19.0</v>
      </c>
      <c r="X1320" s="14">
        <f t="shared" si="123"/>
        <v>1.068825911</v>
      </c>
      <c r="Y1320" s="15">
        <f t="shared" si="135"/>
        <v>0</v>
      </c>
    </row>
    <row r="1321" hidden="1">
      <c r="A1321" s="7">
        <v>44111.33040633102</v>
      </c>
      <c r="B1321" s="8" t="s">
        <v>94</v>
      </c>
      <c r="C1321" s="8">
        <v>21426.0</v>
      </c>
      <c r="D1321" s="8" t="s">
        <v>27</v>
      </c>
      <c r="E1321" s="8" t="s">
        <v>67</v>
      </c>
      <c r="G1321" s="8">
        <v>3234.0</v>
      </c>
      <c r="H1321" s="8" t="s">
        <v>29</v>
      </c>
      <c r="I1321" s="8" t="s">
        <v>135</v>
      </c>
      <c r="L1321" s="8" t="s">
        <v>37</v>
      </c>
      <c r="P1321" s="9">
        <v>44110.0</v>
      </c>
      <c r="Q1321" s="10">
        <v>0.10416666666424135</v>
      </c>
      <c r="R1321" s="11" t="str">
        <f t="shared" si="1"/>
        <v>Сборка на линии Prim</v>
      </c>
      <c r="S1321" s="16" t="str">
        <f>iferror(VLOOKUP(C1321,'ФИО'!A:B,2,0),"учётный код не найден")</f>
        <v>Скибинский Антон Германович</v>
      </c>
      <c r="T1321" s="13" t="str">
        <f t="shared" si="2"/>
        <v>915-00101.A - ПКД-9В АСЛБ.467249.107 (Квант)</v>
      </c>
      <c r="U1321" s="8">
        <v>0.0</v>
      </c>
      <c r="V1321" s="8">
        <v>0.0</v>
      </c>
      <c r="W1321" s="21" t="str">
        <f t="shared" ref="W1321:W1328" si="141">IFERROR((((38412/(ifs(O1321&lt;35,35,O1321&gt;34,O1321)/N1321)*0.7))),"Данные не заполены")</f>
        <v>Данные не заполены</v>
      </c>
      <c r="X1321" s="15" t="str">
        <f t="shared" si="123"/>
        <v>Данные не заполены</v>
      </c>
      <c r="Y1321" s="15">
        <f t="shared" si="135"/>
        <v>0</v>
      </c>
    </row>
    <row r="1322" hidden="1">
      <c r="A1322" s="7">
        <v>44111.719372754626</v>
      </c>
      <c r="B1322" s="8" t="s">
        <v>89</v>
      </c>
      <c r="C1322" s="8">
        <v>22011.0</v>
      </c>
      <c r="D1322" s="8" t="s">
        <v>27</v>
      </c>
      <c r="E1322" s="8" t="s">
        <v>67</v>
      </c>
      <c r="G1322" s="8">
        <v>3580.0</v>
      </c>
      <c r="H1322" s="8" t="s">
        <v>29</v>
      </c>
      <c r="I1322" s="8" t="s">
        <v>145</v>
      </c>
      <c r="L1322" s="8" t="s">
        <v>37</v>
      </c>
      <c r="P1322" s="9">
        <v>44111.0</v>
      </c>
      <c r="Q1322" s="10">
        <v>0.16666666666424135</v>
      </c>
      <c r="R1322" s="11" t="str">
        <f t="shared" si="1"/>
        <v>Сборка на линии Prim</v>
      </c>
      <c r="S1322" s="16" t="str">
        <f>iferror(VLOOKUP(C1322,'ФИО'!A:B,2,0),"учётный код не найден")</f>
        <v>Сергеев Алексей Андреевич</v>
      </c>
      <c r="T1322" s="13" t="str">
        <f t="shared" si="2"/>
        <v>XR (OÜ KLARBERG)</v>
      </c>
      <c r="U1322" s="8">
        <v>0.0</v>
      </c>
      <c r="V1322" s="8">
        <v>0.0</v>
      </c>
      <c r="W1322" s="21" t="str">
        <f t="shared" si="141"/>
        <v>Данные не заполены</v>
      </c>
      <c r="X1322" s="15" t="str">
        <f t="shared" si="123"/>
        <v>Данные не заполены</v>
      </c>
      <c r="Y1322" s="15">
        <f t="shared" si="135"/>
        <v>0</v>
      </c>
    </row>
    <row r="1323" hidden="1">
      <c r="A1323" s="7">
        <v>44111.81523424768</v>
      </c>
      <c r="B1323" s="8" t="s">
        <v>89</v>
      </c>
      <c r="C1323" s="8">
        <v>20693.0</v>
      </c>
      <c r="D1323" s="8" t="s">
        <v>27</v>
      </c>
      <c r="E1323" s="8" t="s">
        <v>67</v>
      </c>
      <c r="G1323" s="8">
        <v>3580.0</v>
      </c>
      <c r="H1323" s="8" t="s">
        <v>29</v>
      </c>
      <c r="I1323" s="8" t="s">
        <v>146</v>
      </c>
      <c r="L1323" s="8" t="s">
        <v>37</v>
      </c>
      <c r="P1323" s="9">
        <v>44111.0</v>
      </c>
      <c r="Q1323" s="10">
        <v>0.08333333333575865</v>
      </c>
      <c r="R1323" s="11" t="str">
        <f t="shared" si="1"/>
        <v>Сборка на линии Prim</v>
      </c>
      <c r="S1323" s="16" t="str">
        <f>iferror(VLOOKUP(C1323,'ФИО'!A:B,2,0),"учётный код не найден")</f>
        <v>Аникина Раиса Владимировна</v>
      </c>
      <c r="T1323" s="13" t="str">
        <f t="shared" si="2"/>
        <v>XR (Термотроник)</v>
      </c>
      <c r="U1323" s="8">
        <v>0.0</v>
      </c>
      <c r="V1323" s="8">
        <v>0.0</v>
      </c>
      <c r="W1323" s="21" t="str">
        <f t="shared" si="141"/>
        <v>Данные не заполены</v>
      </c>
      <c r="X1323" s="15" t="str">
        <f t="shared" si="123"/>
        <v>Данные не заполены</v>
      </c>
      <c r="Y1323" s="15">
        <f t="shared" si="135"/>
        <v>0</v>
      </c>
    </row>
    <row r="1324" hidden="1">
      <c r="A1324" s="7">
        <v>44111.82130922454</v>
      </c>
      <c r="B1324" s="8" t="s">
        <v>89</v>
      </c>
      <c r="C1324" s="8">
        <v>22011.0</v>
      </c>
      <c r="D1324" s="8" t="s">
        <v>27</v>
      </c>
      <c r="E1324" s="8" t="s">
        <v>67</v>
      </c>
      <c r="G1324" s="8">
        <v>3580.0</v>
      </c>
      <c r="H1324" s="8" t="s">
        <v>29</v>
      </c>
      <c r="I1324" s="8" t="s">
        <v>145</v>
      </c>
      <c r="L1324" s="8" t="s">
        <v>37</v>
      </c>
      <c r="P1324" s="9">
        <v>44111.0</v>
      </c>
      <c r="Q1324" s="10">
        <v>0.16666666666424135</v>
      </c>
      <c r="R1324" s="11" t="str">
        <f t="shared" si="1"/>
        <v>Сборка на линии Prim</v>
      </c>
      <c r="S1324" s="16" t="str">
        <f>iferror(VLOOKUP(C1324,'ФИО'!A:B,2,0),"учётный код не найден")</f>
        <v>Сергеев Алексей Андреевич</v>
      </c>
      <c r="T1324" s="13" t="str">
        <f t="shared" si="2"/>
        <v>XR (OÜ KLARBERG)</v>
      </c>
      <c r="U1324" s="8">
        <v>0.0</v>
      </c>
      <c r="V1324" s="8">
        <v>0.0</v>
      </c>
      <c r="W1324" s="21" t="str">
        <f t="shared" si="141"/>
        <v>Данные не заполены</v>
      </c>
      <c r="X1324" s="15" t="str">
        <f t="shared" si="123"/>
        <v>Данные не заполены</v>
      </c>
      <c r="Y1324" s="15">
        <f t="shared" si="135"/>
        <v>0</v>
      </c>
    </row>
    <row r="1325" hidden="1">
      <c r="A1325" s="7">
        <v>44111.822544571754</v>
      </c>
      <c r="B1325" s="8" t="s">
        <v>89</v>
      </c>
      <c r="C1325" s="8">
        <v>21852.0</v>
      </c>
      <c r="D1325" s="8" t="s">
        <v>27</v>
      </c>
      <c r="E1325" s="8" t="s">
        <v>67</v>
      </c>
      <c r="G1325" s="8">
        <v>3580.0</v>
      </c>
      <c r="H1325" s="8" t="s">
        <v>29</v>
      </c>
      <c r="I1325" s="8" t="s">
        <v>146</v>
      </c>
      <c r="L1325" s="8" t="s">
        <v>37</v>
      </c>
      <c r="P1325" s="9">
        <v>44111.0</v>
      </c>
      <c r="Q1325" s="10">
        <v>0.14583333333575865</v>
      </c>
      <c r="R1325" s="11" t="str">
        <f t="shared" si="1"/>
        <v>Сборка на линии Prim</v>
      </c>
      <c r="S1325" s="16" t="str">
        <f>iferror(VLOOKUP(C1325,'ФИО'!A:B,2,0),"учётный код не найден")</f>
        <v>Пономарев Юрий Андреевич</v>
      </c>
      <c r="T1325" s="13" t="str">
        <f t="shared" si="2"/>
        <v>XR (Термотроник)</v>
      </c>
      <c r="U1325" s="8">
        <v>0.0</v>
      </c>
      <c r="V1325" s="8">
        <v>0.0</v>
      </c>
      <c r="W1325" s="21" t="str">
        <f t="shared" si="141"/>
        <v>Данные не заполены</v>
      </c>
      <c r="X1325" s="15" t="str">
        <f t="shared" si="123"/>
        <v>Данные не заполены</v>
      </c>
      <c r="Y1325" s="15">
        <f t="shared" si="135"/>
        <v>0</v>
      </c>
    </row>
    <row r="1326" hidden="1">
      <c r="A1326" s="7">
        <v>44114.80118903935</v>
      </c>
      <c r="B1326" s="8" t="s">
        <v>87</v>
      </c>
      <c r="C1326" s="8">
        <v>22131.0</v>
      </c>
      <c r="D1326" s="8" t="s">
        <v>27</v>
      </c>
      <c r="E1326" s="8" t="s">
        <v>67</v>
      </c>
      <c r="G1326" s="8">
        <v>3750.0</v>
      </c>
      <c r="H1326" s="8" t="s">
        <v>45</v>
      </c>
      <c r="K1326" s="8" t="s">
        <v>46</v>
      </c>
      <c r="L1326" s="8" t="s">
        <v>37</v>
      </c>
      <c r="P1326" s="9">
        <v>44114.0</v>
      </c>
      <c r="Q1326" s="10">
        <v>0.020833333333333332</v>
      </c>
      <c r="R1326" s="11" t="str">
        <f t="shared" si="1"/>
        <v>Сборка на линии Prim</v>
      </c>
      <c r="S1326" s="16" t="str">
        <f>iferror(VLOOKUP(C1326,'ФИО'!A:B,2,0),"учётный код не найден")</f>
        <v>Стосик Степан Владимирович</v>
      </c>
      <c r="T1326" s="13" t="str">
        <f t="shared" si="2"/>
        <v>ПУ 910-00349.A "Печатный узел основного блока E96 4LIN"</v>
      </c>
      <c r="U1326" s="8">
        <v>0.0</v>
      </c>
      <c r="V1326" s="8">
        <v>0.0</v>
      </c>
      <c r="W1326" s="21" t="str">
        <f t="shared" si="141"/>
        <v>Данные не заполены</v>
      </c>
      <c r="X1326" s="15" t="str">
        <f t="shared" si="123"/>
        <v>Данные не заполены</v>
      </c>
      <c r="Y1326" s="15">
        <f t="shared" si="135"/>
        <v>0</v>
      </c>
    </row>
    <row r="1327" hidden="1">
      <c r="A1327" s="7">
        <v>44114.82249550926</v>
      </c>
      <c r="B1327" s="8" t="s">
        <v>87</v>
      </c>
      <c r="C1327" s="8">
        <v>20985.0</v>
      </c>
      <c r="D1327" s="8" t="s">
        <v>27</v>
      </c>
      <c r="E1327" s="8" t="s">
        <v>67</v>
      </c>
      <c r="G1327" s="8">
        <v>3750.0</v>
      </c>
      <c r="H1327" s="8" t="s">
        <v>45</v>
      </c>
      <c r="K1327" s="8" t="s">
        <v>46</v>
      </c>
      <c r="L1327" s="8" t="s">
        <v>37</v>
      </c>
      <c r="P1327" s="9">
        <v>44114.0</v>
      </c>
      <c r="Q1327" s="10">
        <v>0.36458333333575865</v>
      </c>
      <c r="R1327" s="11" t="str">
        <f t="shared" si="1"/>
        <v>Сборка на линии Prim</v>
      </c>
      <c r="S1327" s="16" t="str">
        <f>iferror(VLOOKUP(C1327,'ФИО'!A:B,2,0),"учётный код не найден")</f>
        <v>Никонорова Наталия Владимировна</v>
      </c>
      <c r="T1327" s="13" t="str">
        <f t="shared" si="2"/>
        <v>ПУ 910-00349.A "Печатный узел основного блока E96 4LIN"</v>
      </c>
      <c r="U1327" s="8">
        <v>0.0</v>
      </c>
      <c r="V1327" s="8">
        <v>0.0</v>
      </c>
      <c r="W1327" s="21" t="str">
        <f t="shared" si="141"/>
        <v>Данные не заполены</v>
      </c>
      <c r="X1327" s="15" t="str">
        <f t="shared" si="123"/>
        <v>Данные не заполены</v>
      </c>
      <c r="Y1327" s="15">
        <f t="shared" si="135"/>
        <v>0</v>
      </c>
    </row>
    <row r="1328" hidden="1">
      <c r="A1328" s="7">
        <v>44126.21259520833</v>
      </c>
      <c r="B1328" s="8" t="s">
        <v>94</v>
      </c>
      <c r="C1328" s="8">
        <v>22575.0</v>
      </c>
      <c r="D1328" s="8" t="s">
        <v>27</v>
      </c>
      <c r="E1328" s="8" t="s">
        <v>67</v>
      </c>
      <c r="G1328" s="8">
        <v>3252.0</v>
      </c>
      <c r="H1328" s="8" t="s">
        <v>29</v>
      </c>
      <c r="I1328" s="8" t="s">
        <v>96</v>
      </c>
      <c r="L1328" s="8" t="s">
        <v>37</v>
      </c>
      <c r="P1328" s="9">
        <v>44125.0</v>
      </c>
      <c r="Q1328" s="10">
        <v>0.1840277777777778</v>
      </c>
      <c r="R1328" s="11" t="str">
        <f t="shared" si="1"/>
        <v>Сборка на линии Prim</v>
      </c>
      <c r="S1328" s="16" t="str">
        <f>iferror(VLOOKUP(C1328,'ФИО'!A:B,2,0),"учётный код не найден")</f>
        <v>Куликов Виктор Алексеевич</v>
      </c>
      <c r="T1328" s="13" t="str">
        <f t="shared" si="2"/>
        <v>915-00096.A - ПКД-8В-2 АСЛБ.467249.109</v>
      </c>
      <c r="U1328" s="8">
        <v>0.0</v>
      </c>
      <c r="V1328" s="8">
        <v>0.0</v>
      </c>
      <c r="W1328" s="17" t="str">
        <f t="shared" si="141"/>
        <v>Данные не заполены</v>
      </c>
      <c r="X1328" s="14" t="str">
        <f t="shared" si="123"/>
        <v>Данные не заполены</v>
      </c>
      <c r="Y1328" s="15">
        <f t="shared" si="135"/>
        <v>0</v>
      </c>
    </row>
    <row r="1329" hidden="1">
      <c r="A1329" s="7">
        <v>44129.819208472225</v>
      </c>
      <c r="B1329" s="8" t="s">
        <v>26</v>
      </c>
      <c r="C1329" s="8">
        <v>50000.0</v>
      </c>
      <c r="D1329" s="8" t="s">
        <v>27</v>
      </c>
      <c r="E1329" s="8" t="s">
        <v>67</v>
      </c>
      <c r="G1329" s="8">
        <v>3621.0</v>
      </c>
      <c r="H1329" s="8" t="s">
        <v>29</v>
      </c>
      <c r="I1329" s="8" t="s">
        <v>54</v>
      </c>
      <c r="L1329" s="8" t="s">
        <v>37</v>
      </c>
      <c r="P1329" s="9">
        <v>44129.0</v>
      </c>
      <c r="Q1329" s="10">
        <v>0.0</v>
      </c>
      <c r="R1329" s="11" t="str">
        <f t="shared" si="1"/>
        <v>Сборка на линии Prim</v>
      </c>
      <c r="S1329" s="12" t="str">
        <f>iferror(VLOOKUP(C1329,'ФИО'!A:B,2,0),"учётный код не найден")</f>
        <v>SMT</v>
      </c>
      <c r="T1329" s="13" t="str">
        <f t="shared" si="2"/>
        <v>915-00121.A - Процессорный модуль РСЕН.469555.027 (КНС Групп)</v>
      </c>
      <c r="U1329" s="8">
        <v>2.0</v>
      </c>
      <c r="V1329" s="8">
        <v>0.0</v>
      </c>
      <c r="X1329" s="14" t="str">
        <f t="shared" si="123"/>
        <v>Данные не заполены</v>
      </c>
      <c r="Y1329" s="15">
        <f t="shared" si="135"/>
        <v>0</v>
      </c>
    </row>
    <row r="1330" hidden="1">
      <c r="A1330" s="7">
        <v>44129.819713819445</v>
      </c>
      <c r="B1330" s="8" t="s">
        <v>26</v>
      </c>
      <c r="C1330" s="8">
        <v>50000.0</v>
      </c>
      <c r="D1330" s="8" t="s">
        <v>27</v>
      </c>
      <c r="E1330" s="8" t="s">
        <v>88</v>
      </c>
      <c r="G1330" s="8">
        <v>3804.0</v>
      </c>
      <c r="H1330" s="8" t="s">
        <v>45</v>
      </c>
      <c r="I1330" s="8"/>
      <c r="K1330" s="8" t="s">
        <v>52</v>
      </c>
      <c r="L1330" s="8" t="s">
        <v>37</v>
      </c>
      <c r="N1330" s="8">
        <v>20.0</v>
      </c>
      <c r="O1330" s="8">
        <v>40.0</v>
      </c>
      <c r="P1330" s="9">
        <v>44129.0</v>
      </c>
      <c r="Q1330" s="10">
        <v>0.05694444444444444</v>
      </c>
      <c r="R1330" s="11" t="str">
        <f t="shared" si="1"/>
        <v>Сборка на линии Sec</v>
      </c>
      <c r="S1330" s="12" t="str">
        <f>iferror(VLOOKUP(C1330,'ФИО'!A:B,2,0),"учётный код не найден")</f>
        <v>SMT</v>
      </c>
      <c r="T1330" s="13" t="str">
        <f t="shared" si="2"/>
        <v>М17V2 (900-00018.D)_910-00023.H и ПУ 910-00012.I</v>
      </c>
      <c r="U1330" s="8">
        <v>400.0</v>
      </c>
      <c r="V1330" s="8">
        <v>0.0</v>
      </c>
      <c r="W1330" s="8">
        <v>14152.0</v>
      </c>
      <c r="X1330" s="14">
        <f t="shared" si="123"/>
        <v>0.2274952088</v>
      </c>
      <c r="Y1330" s="15">
        <f t="shared" si="135"/>
        <v>0</v>
      </c>
      <c r="Z1330" s="25" t="s">
        <v>292</v>
      </c>
    </row>
    <row r="1331" hidden="1">
      <c r="A1331" s="7">
        <v>44129.71839548611</v>
      </c>
      <c r="B1331" s="8" t="s">
        <v>26</v>
      </c>
      <c r="C1331" s="8">
        <v>60000.0</v>
      </c>
      <c r="D1331" s="8" t="s">
        <v>69</v>
      </c>
      <c r="F1331" s="8" t="s">
        <v>72</v>
      </c>
      <c r="G1331" s="8">
        <v>3047.0</v>
      </c>
      <c r="H1331" s="8" t="s">
        <v>29</v>
      </c>
      <c r="I1331" s="8" t="s">
        <v>77</v>
      </c>
      <c r="L1331" s="8" t="s">
        <v>37</v>
      </c>
      <c r="N1331" s="8">
        <v>2.0</v>
      </c>
      <c r="O1331" s="8">
        <v>320.0</v>
      </c>
      <c r="P1331" s="9">
        <v>44129.0</v>
      </c>
      <c r="Q1331" s="10">
        <v>0.09027777778101154</v>
      </c>
      <c r="R1331" s="11" t="str">
        <f t="shared" si="1"/>
        <v>Пайка компонентов PRI</v>
      </c>
      <c r="S1331" s="12" t="str">
        <f>iferror(VLOOKUP(C1331,'ФИО'!A:B,2,0),"учётный код не найден")</f>
        <v>THT</v>
      </c>
      <c r="T1331" s="13" t="str">
        <f t="shared" si="2"/>
        <v>915-00081.A-Модуль Трик8 (Кибертех)</v>
      </c>
      <c r="U1331" s="8">
        <v>40.0</v>
      </c>
      <c r="V1331" s="8">
        <v>0.0</v>
      </c>
      <c r="W1331" s="8">
        <v>306.0</v>
      </c>
      <c r="X1331" s="14">
        <f t="shared" si="123"/>
        <v>0.6636500754</v>
      </c>
      <c r="Y1331" s="15">
        <f t="shared" si="135"/>
        <v>0</v>
      </c>
      <c r="Z1331" s="8" t="s">
        <v>293</v>
      </c>
    </row>
    <row r="1332" hidden="1">
      <c r="A1332" s="7">
        <v>44115.314466724536</v>
      </c>
      <c r="B1332" s="8" t="s">
        <v>76</v>
      </c>
      <c r="C1332" s="8">
        <v>20693.0</v>
      </c>
      <c r="D1332" s="8" t="s">
        <v>27</v>
      </c>
      <c r="E1332" s="8" t="s">
        <v>67</v>
      </c>
      <c r="G1332" s="8">
        <v>3750.0</v>
      </c>
      <c r="H1332" s="8" t="s">
        <v>45</v>
      </c>
      <c r="K1332" s="8" t="s">
        <v>46</v>
      </c>
      <c r="L1332" s="8" t="s">
        <v>37</v>
      </c>
      <c r="P1332" s="9">
        <v>44114.0</v>
      </c>
      <c r="Q1332" s="10">
        <v>0.0625</v>
      </c>
      <c r="R1332" s="11" t="str">
        <f t="shared" si="1"/>
        <v>Сборка на линии Prim</v>
      </c>
      <c r="S1332" s="16" t="str">
        <f>iferror(VLOOKUP(C1332,'ФИО'!A:B,2,0),"учётный код не найден")</f>
        <v>Аникина Раиса Владимировна</v>
      </c>
      <c r="T1332" s="13" t="str">
        <f t="shared" si="2"/>
        <v>ПУ 910-00349.A "Печатный узел основного блока E96 4LIN"</v>
      </c>
      <c r="U1332" s="8">
        <v>0.0</v>
      </c>
      <c r="V1332" s="8">
        <v>0.0</v>
      </c>
      <c r="W1332" s="21" t="str">
        <f t="shared" ref="W1332:W1339" si="142">IFERROR((((38412/(ifs(O1332&lt;35,35,O1332&gt;34,O1332)/N1332)*0.7))),"Данные не заполены")</f>
        <v>Данные не заполены</v>
      </c>
      <c r="X1332" s="15" t="str">
        <f t="shared" si="123"/>
        <v>Данные не заполены</v>
      </c>
      <c r="Y1332" s="15">
        <f t="shared" si="135"/>
        <v>0</v>
      </c>
    </row>
    <row r="1333" hidden="1">
      <c r="A1333" s="7">
        <v>44115.31775989583</v>
      </c>
      <c r="B1333" s="8" t="s">
        <v>76</v>
      </c>
      <c r="C1333" s="8">
        <v>21954.0</v>
      </c>
      <c r="D1333" s="8" t="s">
        <v>27</v>
      </c>
      <c r="E1333" s="8" t="s">
        <v>67</v>
      </c>
      <c r="G1333" s="8">
        <v>3750.0</v>
      </c>
      <c r="H1333" s="8" t="s">
        <v>45</v>
      </c>
      <c r="K1333" s="8" t="s">
        <v>46</v>
      </c>
      <c r="L1333" s="8" t="s">
        <v>37</v>
      </c>
      <c r="P1333" s="9">
        <v>44114.0</v>
      </c>
      <c r="Q1333" s="10">
        <v>0.25</v>
      </c>
      <c r="R1333" s="11" t="str">
        <f t="shared" si="1"/>
        <v>Сборка на линии Prim</v>
      </c>
      <c r="S1333" s="16" t="str">
        <f>iferror(VLOOKUP(C1333,'ФИО'!A:B,2,0),"учётный код не найден")</f>
        <v>Александров Александр Викторович</v>
      </c>
      <c r="T1333" s="13" t="str">
        <f t="shared" si="2"/>
        <v>ПУ 910-00349.A "Печатный узел основного блока E96 4LIN"</v>
      </c>
      <c r="U1333" s="8">
        <v>0.0</v>
      </c>
      <c r="V1333" s="8">
        <v>0.0</v>
      </c>
      <c r="W1333" s="21" t="str">
        <f t="shared" si="142"/>
        <v>Данные не заполены</v>
      </c>
      <c r="X1333" s="15" t="str">
        <f t="shared" si="123"/>
        <v>Данные не заполены</v>
      </c>
      <c r="Y1333" s="15">
        <f t="shared" si="135"/>
        <v>0</v>
      </c>
    </row>
    <row r="1334" hidden="1">
      <c r="A1334" s="7">
        <v>44115.32055369213</v>
      </c>
      <c r="B1334" s="8" t="s">
        <v>76</v>
      </c>
      <c r="C1334" s="8">
        <v>22011.0</v>
      </c>
      <c r="D1334" s="8" t="s">
        <v>27</v>
      </c>
      <c r="E1334" s="8" t="s">
        <v>67</v>
      </c>
      <c r="G1334" s="8">
        <v>3750.0</v>
      </c>
      <c r="H1334" s="8" t="s">
        <v>45</v>
      </c>
      <c r="K1334" s="8" t="s">
        <v>46</v>
      </c>
      <c r="L1334" s="8" t="s">
        <v>37</v>
      </c>
      <c r="P1334" s="9">
        <v>44114.0</v>
      </c>
      <c r="Q1334" s="10">
        <v>0.45833333333575865</v>
      </c>
      <c r="R1334" s="11" t="str">
        <f t="shared" si="1"/>
        <v>Сборка на линии Prim</v>
      </c>
      <c r="S1334" s="16" t="str">
        <f>iferror(VLOOKUP(C1334,'ФИО'!A:B,2,0),"учётный код не найден")</f>
        <v>Сергеев Алексей Андреевич</v>
      </c>
      <c r="T1334" s="13" t="str">
        <f t="shared" si="2"/>
        <v>ПУ 910-00349.A "Печатный узел основного блока E96 4LIN"</v>
      </c>
      <c r="U1334" s="8">
        <v>0.0</v>
      </c>
      <c r="V1334" s="8">
        <v>0.0</v>
      </c>
      <c r="W1334" s="21" t="str">
        <f t="shared" si="142"/>
        <v>Данные не заполены</v>
      </c>
      <c r="X1334" s="15" t="str">
        <f t="shared" si="123"/>
        <v>Данные не заполены</v>
      </c>
      <c r="Y1334" s="15">
        <f t="shared" si="135"/>
        <v>0</v>
      </c>
    </row>
    <row r="1335" hidden="1">
      <c r="A1335" s="7">
        <v>44130.250784131946</v>
      </c>
      <c r="B1335" s="8" t="s">
        <v>76</v>
      </c>
      <c r="C1335" s="8">
        <v>50000.0</v>
      </c>
      <c r="D1335" s="8" t="s">
        <v>27</v>
      </c>
      <c r="E1335" s="8" t="s">
        <v>67</v>
      </c>
      <c r="G1335" s="8">
        <v>3237.0</v>
      </c>
      <c r="H1335" s="8" t="s">
        <v>29</v>
      </c>
      <c r="I1335" s="8" t="s">
        <v>56</v>
      </c>
      <c r="L1335" s="8" t="s">
        <v>37</v>
      </c>
      <c r="N1335" s="8">
        <v>1.0</v>
      </c>
      <c r="O1335" s="8">
        <v>38.0</v>
      </c>
      <c r="P1335" s="9">
        <v>44129.0</v>
      </c>
      <c r="Q1335" s="10">
        <v>0.05555555555555555</v>
      </c>
      <c r="R1335" s="11" t="str">
        <f t="shared" si="1"/>
        <v>Сборка на линии Prim</v>
      </c>
      <c r="S1335" s="12" t="str">
        <f>iferror(VLOOKUP(C1335,'ФИО'!A:B,2,0),"учётный код не найден")</f>
        <v>SMT</v>
      </c>
      <c r="T1335" s="13" t="str">
        <f t="shared" si="2"/>
        <v>915-00098.А - ПКБУИК-38 АСЛБ.465122.020 (Квант)</v>
      </c>
      <c r="U1335" s="8">
        <v>24.0</v>
      </c>
      <c r="V1335" s="8">
        <v>0.0</v>
      </c>
      <c r="W1335" s="17">
        <f t="shared" si="142"/>
        <v>707.5894737</v>
      </c>
      <c r="X1335" s="14">
        <f t="shared" si="123"/>
        <v>0.2798232695</v>
      </c>
      <c r="Y1335" s="15">
        <f t="shared" si="135"/>
        <v>0</v>
      </c>
      <c r="Z1335" s="8" t="s">
        <v>294</v>
      </c>
    </row>
    <row r="1336" hidden="1">
      <c r="A1336" s="7">
        <v>44119.82316929398</v>
      </c>
      <c r="B1336" s="8" t="s">
        <v>89</v>
      </c>
      <c r="C1336" s="8">
        <v>20693.0</v>
      </c>
      <c r="D1336" s="8" t="s">
        <v>27</v>
      </c>
      <c r="E1336" s="8" t="s">
        <v>67</v>
      </c>
      <c r="G1336" s="8">
        <v>3253.0</v>
      </c>
      <c r="H1336" s="8" t="s">
        <v>29</v>
      </c>
      <c r="I1336" s="8" t="s">
        <v>95</v>
      </c>
      <c r="L1336" s="8" t="s">
        <v>37</v>
      </c>
      <c r="P1336" s="9">
        <v>44119.0</v>
      </c>
      <c r="Q1336" s="10">
        <v>0.04166666666424135</v>
      </c>
      <c r="R1336" s="11" t="str">
        <f t="shared" si="1"/>
        <v>Сборка на линии Prim</v>
      </c>
      <c r="S1336" s="16" t="str">
        <f>iferror(VLOOKUP(C1336,'ФИО'!A:B,2,0),"учётный код не найден")</f>
        <v>Аникина Раиса Владимировна</v>
      </c>
      <c r="T1336" s="13" t="str">
        <f t="shared" si="2"/>
        <v>915-00095.A - ПКД-8В-1 АСЛБ.467249.108 (Квант)</v>
      </c>
      <c r="U1336" s="8">
        <v>2.0</v>
      </c>
      <c r="V1336" s="8">
        <v>0.0</v>
      </c>
      <c r="W1336" s="17" t="str">
        <f t="shared" si="142"/>
        <v>Данные не заполены</v>
      </c>
      <c r="X1336" s="14" t="str">
        <f t="shared" si="123"/>
        <v>Данные не заполены</v>
      </c>
      <c r="Y1336" s="15">
        <f t="shared" si="135"/>
        <v>0</v>
      </c>
    </row>
    <row r="1337" hidden="1">
      <c r="A1337" s="7">
        <v>44119.837606898145</v>
      </c>
      <c r="B1337" s="8" t="s">
        <v>89</v>
      </c>
      <c r="C1337" s="8">
        <v>20693.0</v>
      </c>
      <c r="D1337" s="8" t="s">
        <v>27</v>
      </c>
      <c r="E1337" s="8" t="s">
        <v>67</v>
      </c>
      <c r="G1337" s="8">
        <v>3253.0</v>
      </c>
      <c r="H1337" s="8" t="s">
        <v>29</v>
      </c>
      <c r="I1337" s="8" t="s">
        <v>95</v>
      </c>
      <c r="L1337" s="8" t="s">
        <v>37</v>
      </c>
      <c r="P1337" s="9">
        <v>44119.0</v>
      </c>
      <c r="Q1337" s="10">
        <v>0.055555555554747116</v>
      </c>
      <c r="R1337" s="11" t="str">
        <f t="shared" si="1"/>
        <v>Сборка на линии Prim</v>
      </c>
      <c r="S1337" s="16" t="str">
        <f>iferror(VLOOKUP(C1337,'ФИО'!A:B,2,0),"учётный код не найден")</f>
        <v>Аникина Раиса Владимировна</v>
      </c>
      <c r="T1337" s="13" t="str">
        <f t="shared" si="2"/>
        <v>915-00095.A - ПКД-8В-1 АСЛБ.467249.108 (Квант)</v>
      </c>
      <c r="U1337" s="8">
        <v>0.0</v>
      </c>
      <c r="V1337" s="8">
        <v>0.0</v>
      </c>
      <c r="W1337" s="17" t="str">
        <f t="shared" si="142"/>
        <v>Данные не заполены</v>
      </c>
      <c r="X1337" s="14" t="str">
        <f t="shared" si="123"/>
        <v>Данные не заполены</v>
      </c>
      <c r="Y1337" s="15">
        <f t="shared" si="135"/>
        <v>0</v>
      </c>
    </row>
    <row r="1338" hidden="1">
      <c r="A1338" s="7">
        <v>44119.830211886576</v>
      </c>
      <c r="B1338" s="8" t="s">
        <v>89</v>
      </c>
      <c r="C1338" s="8">
        <v>21852.0</v>
      </c>
      <c r="D1338" s="8" t="s">
        <v>27</v>
      </c>
      <c r="E1338" s="8" t="s">
        <v>67</v>
      </c>
      <c r="G1338" s="8">
        <v>3253.0</v>
      </c>
      <c r="H1338" s="8" t="s">
        <v>29</v>
      </c>
      <c r="I1338" s="8" t="s">
        <v>95</v>
      </c>
      <c r="L1338" s="8" t="s">
        <v>37</v>
      </c>
      <c r="P1338" s="9">
        <v>44119.0</v>
      </c>
      <c r="Q1338" s="10">
        <v>0.11111111110949423</v>
      </c>
      <c r="R1338" s="11" t="str">
        <f t="shared" si="1"/>
        <v>Сборка на линии Prim</v>
      </c>
      <c r="S1338" s="16" t="str">
        <f>iferror(VLOOKUP(C1338,'ФИО'!A:B,2,0),"учётный код не найден")</f>
        <v>Пономарев Юрий Андреевич</v>
      </c>
      <c r="T1338" s="13" t="str">
        <f t="shared" si="2"/>
        <v>915-00095.A - ПКД-8В-1 АСЛБ.467249.108 (Квант)</v>
      </c>
      <c r="U1338" s="8">
        <v>0.0</v>
      </c>
      <c r="V1338" s="8">
        <v>0.0</v>
      </c>
      <c r="W1338" s="17" t="str">
        <f t="shared" si="142"/>
        <v>Данные не заполены</v>
      </c>
      <c r="X1338" s="14" t="str">
        <f t="shared" si="123"/>
        <v>Данные не заполены</v>
      </c>
      <c r="Y1338" s="15">
        <f t="shared" si="135"/>
        <v>0</v>
      </c>
    </row>
    <row r="1339" hidden="1">
      <c r="A1339" s="7">
        <v>44119.830424976855</v>
      </c>
      <c r="B1339" s="8" t="s">
        <v>89</v>
      </c>
      <c r="C1339" s="8">
        <v>22011.0</v>
      </c>
      <c r="D1339" s="8" t="s">
        <v>27</v>
      </c>
      <c r="E1339" s="8" t="s">
        <v>67</v>
      </c>
      <c r="G1339" s="8">
        <v>3253.0</v>
      </c>
      <c r="H1339" s="8" t="s">
        <v>29</v>
      </c>
      <c r="I1339" s="8" t="s">
        <v>95</v>
      </c>
      <c r="L1339" s="8" t="s">
        <v>37</v>
      </c>
      <c r="P1339" s="9">
        <v>44119.0</v>
      </c>
      <c r="Q1339" s="10">
        <v>0.125</v>
      </c>
      <c r="R1339" s="11" t="str">
        <f t="shared" si="1"/>
        <v>Сборка на линии Prim</v>
      </c>
      <c r="S1339" s="16" t="str">
        <f>iferror(VLOOKUP(C1339,'ФИО'!A:B,2,0),"учётный код не найден")</f>
        <v>Сергеев Алексей Андреевич</v>
      </c>
      <c r="T1339" s="13" t="str">
        <f t="shared" si="2"/>
        <v>915-00095.A - ПКД-8В-1 АСЛБ.467249.108 (Квант)</v>
      </c>
      <c r="U1339" s="8">
        <v>0.0</v>
      </c>
      <c r="V1339" s="8">
        <v>0.0</v>
      </c>
      <c r="W1339" s="17" t="str">
        <f t="shared" si="142"/>
        <v>Данные не заполены</v>
      </c>
      <c r="X1339" s="14" t="str">
        <f t="shared" si="123"/>
        <v>Данные не заполены</v>
      </c>
      <c r="Y1339" s="15">
        <f t="shared" si="135"/>
        <v>0</v>
      </c>
    </row>
    <row r="1340" hidden="1">
      <c r="A1340" s="7">
        <v>44120.31696831019</v>
      </c>
      <c r="B1340" s="8" t="s">
        <v>126</v>
      </c>
      <c r="C1340" s="8">
        <v>22574.0</v>
      </c>
      <c r="D1340" s="8" t="s">
        <v>27</v>
      </c>
      <c r="E1340" s="8" t="s">
        <v>67</v>
      </c>
      <c r="G1340" s="8">
        <v>3252.0</v>
      </c>
      <c r="H1340" s="8" t="s">
        <v>29</v>
      </c>
      <c r="I1340" s="8" t="s">
        <v>96</v>
      </c>
      <c r="L1340" s="8" t="s">
        <v>37</v>
      </c>
      <c r="P1340" s="9">
        <v>44119.0</v>
      </c>
      <c r="Q1340" s="10">
        <v>0.020833333335758653</v>
      </c>
      <c r="R1340" s="11" t="str">
        <f t="shared" si="1"/>
        <v>Сборка на линии Prim</v>
      </c>
      <c r="S1340" s="16" t="str">
        <f>iferror(VLOOKUP(C1340,'ФИО'!A:B,2,0),"учётный код не найден")</f>
        <v>Шапенков Геннадий Михайлович</v>
      </c>
      <c r="T1340" s="13" t="str">
        <f t="shared" si="2"/>
        <v>915-00096.A - ПКД-8В-2 АСЛБ.467249.109</v>
      </c>
      <c r="U1340" s="8">
        <v>0.0</v>
      </c>
      <c r="V1340" s="8">
        <v>0.0</v>
      </c>
    </row>
    <row r="1341" hidden="1">
      <c r="A1341" s="7">
        <v>44120.84089849537</v>
      </c>
      <c r="B1341" s="8" t="s">
        <v>126</v>
      </c>
      <c r="C1341" s="8">
        <v>21927.0</v>
      </c>
      <c r="D1341" s="8" t="s">
        <v>27</v>
      </c>
      <c r="E1341" s="8" t="s">
        <v>67</v>
      </c>
      <c r="G1341" s="8">
        <v>3253.0</v>
      </c>
      <c r="H1341" s="8" t="s">
        <v>29</v>
      </c>
      <c r="I1341" s="8" t="s">
        <v>95</v>
      </c>
      <c r="L1341" s="8" t="s">
        <v>37</v>
      </c>
      <c r="P1341" s="9">
        <v>44119.0</v>
      </c>
      <c r="Q1341" s="10">
        <v>0.020833333335758653</v>
      </c>
      <c r="R1341" s="11" t="str">
        <f t="shared" si="1"/>
        <v>Сборка на линии Prim</v>
      </c>
      <c r="S1341" s="16" t="str">
        <f>iferror(VLOOKUP(C1341,'ФИО'!A:B,2,0),"учётный код не найден")</f>
        <v>Шергин Родион Олегович</v>
      </c>
      <c r="T1341" s="13" t="str">
        <f t="shared" si="2"/>
        <v>915-00095.A - ПКД-8В-1 АСЛБ.467249.108 (Квант)</v>
      </c>
      <c r="U1341" s="8">
        <v>0.0</v>
      </c>
      <c r="V1341" s="8">
        <v>0.0</v>
      </c>
      <c r="W1341" s="17" t="str">
        <f t="shared" ref="W1341:W1344" si="143">IFERROR((((38412/(ifs(O1341&lt;35,35,O1341&gt;34,O1341)/N1341)*0.7))),"Данные не заполены")</f>
        <v>Данные не заполены</v>
      </c>
      <c r="X1341" s="14" t="str">
        <f t="shared" ref="X1341:X1443" si="144">IFERROR((((V1341+U1341)/Q1341)/24)/(W1341/11),"Данные не заполены")</f>
        <v>Данные не заполены</v>
      </c>
    </row>
    <row r="1342" hidden="1">
      <c r="A1342" s="7">
        <v>44120.84169025463</v>
      </c>
      <c r="B1342" s="8" t="s">
        <v>126</v>
      </c>
      <c r="C1342" s="8">
        <v>21927.0</v>
      </c>
      <c r="D1342" s="8" t="s">
        <v>27</v>
      </c>
      <c r="E1342" s="8" t="s">
        <v>67</v>
      </c>
      <c r="G1342" s="8">
        <v>3252.0</v>
      </c>
      <c r="H1342" s="8" t="s">
        <v>29</v>
      </c>
      <c r="I1342" s="8" t="s">
        <v>96</v>
      </c>
      <c r="L1342" s="8" t="s">
        <v>37</v>
      </c>
      <c r="P1342" s="9">
        <v>44119.0</v>
      </c>
      <c r="Q1342" s="10">
        <v>0.07291666666424135</v>
      </c>
      <c r="R1342" s="11" t="str">
        <f t="shared" si="1"/>
        <v>Сборка на линии Prim</v>
      </c>
      <c r="S1342" s="16" t="str">
        <f>iferror(VLOOKUP(C1342,'ФИО'!A:B,2,0),"учётный код не найден")</f>
        <v>Шергин Родион Олегович</v>
      </c>
      <c r="T1342" s="13" t="str">
        <f t="shared" si="2"/>
        <v>915-00096.A - ПКД-8В-2 АСЛБ.467249.109</v>
      </c>
      <c r="U1342" s="8">
        <v>0.0</v>
      </c>
      <c r="V1342" s="8">
        <v>0.0</v>
      </c>
      <c r="W1342" s="17" t="str">
        <f t="shared" si="143"/>
        <v>Данные не заполены</v>
      </c>
      <c r="X1342" s="14" t="str">
        <f t="shared" si="144"/>
        <v>Данные не заполены</v>
      </c>
    </row>
    <row r="1343" hidden="1">
      <c r="A1343" s="7">
        <v>44121.33153513889</v>
      </c>
      <c r="B1343" s="8" t="s">
        <v>126</v>
      </c>
      <c r="C1343" s="8">
        <v>21852.0</v>
      </c>
      <c r="D1343" s="8" t="s">
        <v>27</v>
      </c>
      <c r="E1343" s="8" t="s">
        <v>67</v>
      </c>
      <c r="G1343" s="8">
        <v>3649.0</v>
      </c>
      <c r="H1343" s="8" t="s">
        <v>29</v>
      </c>
      <c r="I1343" s="8" t="s">
        <v>33</v>
      </c>
      <c r="L1343" s="8" t="s">
        <v>37</v>
      </c>
      <c r="P1343" s="9">
        <v>44120.0</v>
      </c>
      <c r="Q1343" s="10">
        <v>0.15277777778101154</v>
      </c>
      <c r="R1343" s="11" t="str">
        <f t="shared" si="1"/>
        <v>Сборка на линии Prim</v>
      </c>
      <c r="S1343" s="16" t="str">
        <f>iferror(VLOOKUP(C1343,'ФИО'!A:B,2,0),"учётный код не найден")</f>
        <v>Пономарев Юрий Андреевич</v>
      </c>
      <c r="T1343" s="13" t="str">
        <f t="shared" si="2"/>
        <v>ssfp2.2 (Метротек)</v>
      </c>
      <c r="U1343" s="8">
        <v>0.0</v>
      </c>
      <c r="V1343" s="8">
        <v>0.0</v>
      </c>
      <c r="W1343" s="17" t="str">
        <f t="shared" si="143"/>
        <v>Данные не заполены</v>
      </c>
      <c r="X1343" s="14" t="str">
        <f t="shared" si="144"/>
        <v>Данные не заполены</v>
      </c>
      <c r="Y1343" s="15">
        <f t="shared" ref="Y1343:Y1443" si="145">iferror((V1343/if(U1343=0,1,U1343)),0)</f>
        <v>0</v>
      </c>
    </row>
    <row r="1344" hidden="1">
      <c r="A1344" s="7">
        <v>44126.21486466435</v>
      </c>
      <c r="B1344" s="8" t="s">
        <v>94</v>
      </c>
      <c r="C1344" s="8">
        <v>22575.0</v>
      </c>
      <c r="D1344" s="8" t="s">
        <v>27</v>
      </c>
      <c r="E1344" s="8" t="s">
        <v>57</v>
      </c>
      <c r="G1344" s="8">
        <v>3804.0</v>
      </c>
      <c r="H1344" s="8" t="s">
        <v>45</v>
      </c>
      <c r="K1344" s="8" t="s">
        <v>52</v>
      </c>
      <c r="L1344" s="8" t="s">
        <v>31</v>
      </c>
      <c r="M1344" s="8" t="s">
        <v>34</v>
      </c>
      <c r="P1344" s="9">
        <v>44125.0</v>
      </c>
      <c r="Q1344" s="10">
        <v>0.006944444445252884</v>
      </c>
      <c r="R1344" s="11" t="str">
        <f t="shared" si="1"/>
        <v>Настройка линии Primary</v>
      </c>
      <c r="S1344" s="16" t="str">
        <f>iferror(VLOOKUP(C1344,'ФИО'!A:B,2,0),"учётный код не найден")</f>
        <v>Куликов Виктор Алексеевич</v>
      </c>
      <c r="T1344" s="13" t="str">
        <f t="shared" si="2"/>
        <v>М17V2 (900-00018.D)_910-00023.H и ПУ 910-00012.I</v>
      </c>
      <c r="U1344" s="8">
        <v>0.0</v>
      </c>
      <c r="V1344" s="8">
        <v>0.0</v>
      </c>
      <c r="W1344" s="17" t="str">
        <f t="shared" si="143"/>
        <v>Данные не заполены</v>
      </c>
      <c r="X1344" s="14" t="str">
        <f t="shared" si="144"/>
        <v>Данные не заполены</v>
      </c>
      <c r="Y1344" s="15">
        <f t="shared" si="145"/>
        <v>0</v>
      </c>
    </row>
    <row r="1345" hidden="1">
      <c r="A1345" s="7">
        <v>44126.21575945602</v>
      </c>
      <c r="B1345" s="8" t="s">
        <v>94</v>
      </c>
      <c r="C1345" s="8">
        <v>22575.0</v>
      </c>
      <c r="D1345" s="8" t="s">
        <v>27</v>
      </c>
      <c r="E1345" s="8" t="s">
        <v>82</v>
      </c>
      <c r="G1345" s="8">
        <v>3804.0</v>
      </c>
      <c r="H1345" s="8" t="s">
        <v>45</v>
      </c>
      <c r="K1345" s="8" t="s">
        <v>52</v>
      </c>
      <c r="L1345" s="8" t="s">
        <v>31</v>
      </c>
      <c r="M1345" s="8" t="s">
        <v>34</v>
      </c>
      <c r="P1345" s="9">
        <v>44125.0</v>
      </c>
      <c r="Q1345" s="10">
        <v>0.024305555555555556</v>
      </c>
      <c r="R1345" s="11" t="str">
        <f t="shared" si="1"/>
        <v>Настройка установщиков</v>
      </c>
      <c r="S1345" s="16" t="str">
        <f>iferror(VLOOKUP(C1345,'ФИО'!A:B,2,0),"учётный код не найден")</f>
        <v>Куликов Виктор Алексеевич</v>
      </c>
      <c r="T1345" s="13" t="str">
        <f t="shared" si="2"/>
        <v>М17V2 (900-00018.D)_910-00023.H и ПУ 910-00012.I</v>
      </c>
      <c r="U1345" s="8">
        <v>1.0</v>
      </c>
      <c r="V1345" s="8">
        <v>0.0</v>
      </c>
      <c r="W1345" s="17">
        <v>19.0</v>
      </c>
      <c r="X1345" s="14">
        <f t="shared" si="144"/>
        <v>0.992481203</v>
      </c>
      <c r="Y1345" s="15">
        <f t="shared" si="145"/>
        <v>0</v>
      </c>
    </row>
    <row r="1346" hidden="1">
      <c r="A1346" s="7">
        <v>44126.31578064815</v>
      </c>
      <c r="B1346" s="8" t="s">
        <v>94</v>
      </c>
      <c r="C1346" s="8">
        <v>20985.0</v>
      </c>
      <c r="D1346" s="8" t="s">
        <v>27</v>
      </c>
      <c r="E1346" s="8" t="s">
        <v>67</v>
      </c>
      <c r="G1346" s="8">
        <v>3252.0</v>
      </c>
      <c r="H1346" s="8" t="s">
        <v>29</v>
      </c>
      <c r="I1346" s="8" t="s">
        <v>96</v>
      </c>
      <c r="L1346" s="8" t="s">
        <v>37</v>
      </c>
      <c r="P1346" s="9">
        <v>44125.0</v>
      </c>
      <c r="Q1346" s="10">
        <v>0.14583333333575865</v>
      </c>
      <c r="R1346" s="11" t="str">
        <f t="shared" si="1"/>
        <v>Сборка на линии Prim</v>
      </c>
      <c r="S1346" s="16" t="str">
        <f>iferror(VLOOKUP(C1346,'ФИО'!A:B,2,0),"учётный код не найден")</f>
        <v>Никонорова Наталия Владимировна</v>
      </c>
      <c r="T1346" s="13" t="str">
        <f t="shared" si="2"/>
        <v>915-00096.A - ПКД-8В-2 АСЛБ.467249.109</v>
      </c>
      <c r="U1346" s="8">
        <v>0.0</v>
      </c>
      <c r="V1346" s="8">
        <v>0.0</v>
      </c>
      <c r="W1346" s="17" t="str">
        <f t="shared" ref="W1346:W1375" si="146">IFERROR((((38412/(ifs(O1346&lt;35,35,O1346&gt;34,O1346)/N1346)*0.7))),"Данные не заполены")</f>
        <v>Данные не заполены</v>
      </c>
      <c r="X1346" s="14" t="str">
        <f t="shared" si="144"/>
        <v>Данные не заполены</v>
      </c>
      <c r="Y1346" s="15">
        <f t="shared" si="145"/>
        <v>0</v>
      </c>
    </row>
    <row r="1347" hidden="1">
      <c r="A1347" s="7">
        <v>44126.320111319445</v>
      </c>
      <c r="B1347" s="8" t="s">
        <v>94</v>
      </c>
      <c r="C1347" s="8">
        <v>20985.0</v>
      </c>
      <c r="D1347" s="8" t="s">
        <v>27</v>
      </c>
      <c r="E1347" s="8" t="s">
        <v>67</v>
      </c>
      <c r="G1347" s="8">
        <v>3804.0</v>
      </c>
      <c r="H1347" s="8" t="s">
        <v>45</v>
      </c>
      <c r="K1347" s="8" t="s">
        <v>52</v>
      </c>
      <c r="L1347" s="8" t="s">
        <v>37</v>
      </c>
      <c r="P1347" s="9">
        <v>44125.0</v>
      </c>
      <c r="Q1347" s="10">
        <v>0.125</v>
      </c>
      <c r="R1347" s="11" t="str">
        <f t="shared" si="1"/>
        <v>Сборка на линии Prim</v>
      </c>
      <c r="S1347" s="16" t="str">
        <f>iferror(VLOOKUP(C1347,'ФИО'!A:B,2,0),"учётный код не найден")</f>
        <v>Никонорова Наталия Владимировна</v>
      </c>
      <c r="T1347" s="13" t="str">
        <f t="shared" si="2"/>
        <v>М17V2 (900-00018.D)_910-00023.H и ПУ 910-00012.I</v>
      </c>
      <c r="U1347" s="8">
        <v>0.0</v>
      </c>
      <c r="V1347" s="8">
        <v>0.0</v>
      </c>
      <c r="W1347" s="17" t="str">
        <f t="shared" si="146"/>
        <v>Данные не заполены</v>
      </c>
      <c r="X1347" s="14" t="str">
        <f t="shared" si="144"/>
        <v>Данные не заполены</v>
      </c>
      <c r="Y1347" s="15">
        <f t="shared" si="145"/>
        <v>0</v>
      </c>
    </row>
    <row r="1348" hidden="1">
      <c r="A1348" s="7">
        <v>44126.323190243056</v>
      </c>
      <c r="B1348" s="8" t="s">
        <v>94</v>
      </c>
      <c r="C1348" s="8">
        <v>21928.0</v>
      </c>
      <c r="D1348" s="8" t="s">
        <v>27</v>
      </c>
      <c r="E1348" s="8" t="s">
        <v>67</v>
      </c>
      <c r="G1348" s="8">
        <v>3252.0</v>
      </c>
      <c r="H1348" s="8" t="s">
        <v>29</v>
      </c>
      <c r="I1348" s="8" t="s">
        <v>96</v>
      </c>
      <c r="L1348" s="8" t="s">
        <v>37</v>
      </c>
      <c r="P1348" s="9">
        <v>44125.0</v>
      </c>
      <c r="Q1348" s="10">
        <v>0.14583333333575865</v>
      </c>
      <c r="R1348" s="11" t="str">
        <f t="shared" si="1"/>
        <v>Сборка на линии Prim</v>
      </c>
      <c r="S1348" s="16" t="str">
        <f>iferror(VLOOKUP(C1348,'ФИО'!A:B,2,0),"учётный код не найден")</f>
        <v>Савченко Виктория Андреевна</v>
      </c>
      <c r="T1348" s="13" t="str">
        <f t="shared" si="2"/>
        <v>915-00096.A - ПКД-8В-2 АСЛБ.467249.109</v>
      </c>
      <c r="U1348" s="8">
        <v>0.0</v>
      </c>
      <c r="V1348" s="8">
        <v>0.0</v>
      </c>
      <c r="W1348" s="17" t="str">
        <f t="shared" si="146"/>
        <v>Данные не заполены</v>
      </c>
      <c r="X1348" s="14" t="str">
        <f t="shared" si="144"/>
        <v>Данные не заполены</v>
      </c>
      <c r="Y1348" s="15">
        <f t="shared" si="145"/>
        <v>0</v>
      </c>
    </row>
    <row r="1349" hidden="1">
      <c r="A1349" s="7">
        <v>44126.32421518519</v>
      </c>
      <c r="B1349" s="8" t="s">
        <v>94</v>
      </c>
      <c r="C1349" s="8">
        <v>21928.0</v>
      </c>
      <c r="D1349" s="8" t="s">
        <v>27</v>
      </c>
      <c r="E1349" s="8" t="s">
        <v>67</v>
      </c>
      <c r="G1349" s="8">
        <v>3804.0</v>
      </c>
      <c r="H1349" s="8" t="s">
        <v>45</v>
      </c>
      <c r="K1349" s="8" t="s">
        <v>52</v>
      </c>
      <c r="L1349" s="8" t="s">
        <v>37</v>
      </c>
      <c r="P1349" s="9">
        <v>44125.0</v>
      </c>
      <c r="Q1349" s="10">
        <v>0.125</v>
      </c>
      <c r="R1349" s="11" t="str">
        <f t="shared" si="1"/>
        <v>Сборка на линии Prim</v>
      </c>
      <c r="S1349" s="16" t="str">
        <f>iferror(VLOOKUP(C1349,'ФИО'!A:B,2,0),"учётный код не найден")</f>
        <v>Савченко Виктория Андреевна</v>
      </c>
      <c r="T1349" s="13" t="str">
        <f t="shared" si="2"/>
        <v>М17V2 (900-00018.D)_910-00023.H и ПУ 910-00012.I</v>
      </c>
      <c r="U1349" s="8">
        <v>0.0</v>
      </c>
      <c r="V1349" s="8">
        <v>0.0</v>
      </c>
      <c r="W1349" s="17" t="str">
        <f t="shared" si="146"/>
        <v>Данные не заполены</v>
      </c>
      <c r="X1349" s="14" t="str">
        <f t="shared" si="144"/>
        <v>Данные не заполены</v>
      </c>
      <c r="Y1349" s="15">
        <f t="shared" si="145"/>
        <v>0</v>
      </c>
    </row>
    <row r="1350" hidden="1">
      <c r="A1350" s="7">
        <v>44126.32107813658</v>
      </c>
      <c r="B1350" s="8" t="s">
        <v>94</v>
      </c>
      <c r="C1350" s="8">
        <v>21426.0</v>
      </c>
      <c r="D1350" s="8" t="s">
        <v>27</v>
      </c>
      <c r="E1350" s="8" t="s">
        <v>67</v>
      </c>
      <c r="G1350" s="8">
        <v>3804.0</v>
      </c>
      <c r="H1350" s="8" t="s">
        <v>45</v>
      </c>
      <c r="K1350" s="8" t="s">
        <v>52</v>
      </c>
      <c r="L1350" s="8" t="s">
        <v>37</v>
      </c>
      <c r="P1350" s="9">
        <v>44125.0</v>
      </c>
      <c r="Q1350" s="10">
        <v>0.08333333333575865</v>
      </c>
      <c r="R1350" s="11" t="str">
        <f t="shared" si="1"/>
        <v>Сборка на линии Prim</v>
      </c>
      <c r="S1350" s="16" t="str">
        <f>iferror(VLOOKUP(C1350,'ФИО'!A:B,2,0),"учётный код не найден")</f>
        <v>Скибинский Антон Германович</v>
      </c>
      <c r="T1350" s="13" t="str">
        <f t="shared" si="2"/>
        <v>М17V2 (900-00018.D)_910-00023.H и ПУ 910-00012.I</v>
      </c>
      <c r="U1350" s="8">
        <v>0.0</v>
      </c>
      <c r="V1350" s="8">
        <v>0.0</v>
      </c>
      <c r="W1350" s="17" t="str">
        <f t="shared" si="146"/>
        <v>Данные не заполены</v>
      </c>
      <c r="X1350" s="14" t="str">
        <f t="shared" si="144"/>
        <v>Данные не заполены</v>
      </c>
      <c r="Y1350" s="15">
        <f t="shared" si="145"/>
        <v>0</v>
      </c>
    </row>
    <row r="1351" hidden="1">
      <c r="A1351" s="7">
        <v>44126.82664254629</v>
      </c>
      <c r="B1351" s="8" t="s">
        <v>89</v>
      </c>
      <c r="C1351" s="8">
        <v>20693.0</v>
      </c>
      <c r="D1351" s="8" t="s">
        <v>27</v>
      </c>
      <c r="E1351" s="8" t="s">
        <v>67</v>
      </c>
      <c r="G1351" s="8">
        <v>3804.0</v>
      </c>
      <c r="H1351" s="8" t="s">
        <v>45</v>
      </c>
      <c r="K1351" s="8" t="s">
        <v>52</v>
      </c>
      <c r="L1351" s="8" t="s">
        <v>37</v>
      </c>
      <c r="P1351" s="9">
        <v>44126.0</v>
      </c>
      <c r="Q1351" s="10">
        <v>0.10416666666424135</v>
      </c>
      <c r="R1351" s="11" t="str">
        <f t="shared" si="1"/>
        <v>Сборка на линии Prim</v>
      </c>
      <c r="S1351" s="16" t="str">
        <f>iferror(VLOOKUP(C1351,'ФИО'!A:B,2,0),"учётный код не найден")</f>
        <v>Аникина Раиса Владимировна</v>
      </c>
      <c r="T1351" s="13" t="str">
        <f t="shared" si="2"/>
        <v>М17V2 (900-00018.D)_910-00023.H и ПУ 910-00012.I</v>
      </c>
      <c r="U1351" s="8">
        <v>0.0</v>
      </c>
      <c r="V1351" s="8">
        <v>0.0</v>
      </c>
      <c r="W1351" s="17" t="str">
        <f t="shared" si="146"/>
        <v>Данные не заполены</v>
      </c>
      <c r="X1351" s="14" t="str">
        <f t="shared" si="144"/>
        <v>Данные не заполены</v>
      </c>
      <c r="Y1351" s="15">
        <f t="shared" si="145"/>
        <v>0</v>
      </c>
    </row>
    <row r="1352" hidden="1">
      <c r="A1352" s="7">
        <v>44126.82497163194</v>
      </c>
      <c r="B1352" s="8" t="s">
        <v>89</v>
      </c>
      <c r="C1352" s="8">
        <v>21752.0</v>
      </c>
      <c r="D1352" s="8" t="s">
        <v>27</v>
      </c>
      <c r="E1352" s="8" t="s">
        <v>67</v>
      </c>
      <c r="G1352" s="8">
        <v>3804.0</v>
      </c>
      <c r="H1352" s="8" t="s">
        <v>45</v>
      </c>
      <c r="K1352" s="8" t="s">
        <v>52</v>
      </c>
      <c r="L1352" s="8" t="s">
        <v>37</v>
      </c>
      <c r="P1352" s="9">
        <v>44126.0</v>
      </c>
      <c r="Q1352" s="10">
        <v>0.26041666666424135</v>
      </c>
      <c r="R1352" s="11" t="str">
        <f t="shared" si="1"/>
        <v>Сборка на линии Prim</v>
      </c>
      <c r="S1352" s="16" t="str">
        <f>iferror(VLOOKUP(C1352,'ФИО'!A:B,2,0),"учётный код не найден")</f>
        <v>Егоров Александр Александрович</v>
      </c>
      <c r="T1352" s="13" t="str">
        <f t="shared" si="2"/>
        <v>М17V2 (900-00018.D)_910-00023.H и ПУ 910-00012.I</v>
      </c>
      <c r="U1352" s="8">
        <v>0.0</v>
      </c>
      <c r="V1352" s="8">
        <v>0.0</v>
      </c>
      <c r="W1352" s="17" t="str">
        <f t="shared" si="146"/>
        <v>Данные не заполены</v>
      </c>
      <c r="X1352" s="14" t="str">
        <f t="shared" si="144"/>
        <v>Данные не заполены</v>
      </c>
      <c r="Y1352" s="15">
        <f t="shared" si="145"/>
        <v>0</v>
      </c>
    </row>
    <row r="1353" hidden="1">
      <c r="A1353" s="7">
        <v>44126.8195742824</v>
      </c>
      <c r="B1353" s="8" t="s">
        <v>89</v>
      </c>
      <c r="C1353" s="8">
        <v>21852.0</v>
      </c>
      <c r="D1353" s="8" t="s">
        <v>27</v>
      </c>
      <c r="E1353" s="8" t="s">
        <v>67</v>
      </c>
      <c r="G1353" s="8">
        <v>3804.0</v>
      </c>
      <c r="H1353" s="8" t="s">
        <v>45</v>
      </c>
      <c r="K1353" s="8" t="s">
        <v>52</v>
      </c>
      <c r="L1353" s="8" t="s">
        <v>37</v>
      </c>
      <c r="P1353" s="9">
        <v>44126.0</v>
      </c>
      <c r="Q1353" s="10">
        <v>0.20833333333575865</v>
      </c>
      <c r="R1353" s="11" t="str">
        <f t="shared" si="1"/>
        <v>Сборка на линии Prim</v>
      </c>
      <c r="S1353" s="16" t="str">
        <f>iferror(VLOOKUP(C1353,'ФИО'!A:B,2,0),"учётный код не найден")</f>
        <v>Пономарев Юрий Андреевич</v>
      </c>
      <c r="T1353" s="13" t="str">
        <f t="shared" si="2"/>
        <v>М17V2 (900-00018.D)_910-00023.H и ПУ 910-00012.I</v>
      </c>
      <c r="U1353" s="8">
        <v>0.0</v>
      </c>
      <c r="V1353" s="8">
        <v>0.0</v>
      </c>
      <c r="W1353" s="17" t="str">
        <f t="shared" si="146"/>
        <v>Данные не заполены</v>
      </c>
      <c r="X1353" s="14" t="str">
        <f t="shared" si="144"/>
        <v>Данные не заполены</v>
      </c>
      <c r="Y1353" s="15">
        <f t="shared" si="145"/>
        <v>0</v>
      </c>
    </row>
    <row r="1354" hidden="1">
      <c r="A1354" s="7">
        <v>44126.826817696754</v>
      </c>
      <c r="B1354" s="8" t="s">
        <v>89</v>
      </c>
      <c r="C1354" s="8">
        <v>22011.0</v>
      </c>
      <c r="D1354" s="8" t="s">
        <v>27</v>
      </c>
      <c r="E1354" s="8" t="s">
        <v>67</v>
      </c>
      <c r="G1354" s="8">
        <v>3804.0</v>
      </c>
      <c r="H1354" s="8" t="s">
        <v>45</v>
      </c>
      <c r="K1354" s="8" t="s">
        <v>52</v>
      </c>
      <c r="L1354" s="8" t="s">
        <v>37</v>
      </c>
      <c r="P1354" s="9">
        <v>44126.0</v>
      </c>
      <c r="Q1354" s="10">
        <v>0.125</v>
      </c>
      <c r="R1354" s="11" t="str">
        <f t="shared" si="1"/>
        <v>Сборка на линии Prim</v>
      </c>
      <c r="S1354" s="16" t="str">
        <f>iferror(VLOOKUP(C1354,'ФИО'!A:B,2,0),"учётный код не найден")</f>
        <v>Сергеев Алексей Андреевич</v>
      </c>
      <c r="T1354" s="13" t="str">
        <f t="shared" si="2"/>
        <v>М17V2 (900-00018.D)_910-00023.H и ПУ 910-00012.I</v>
      </c>
      <c r="U1354" s="8">
        <v>0.0</v>
      </c>
      <c r="V1354" s="8">
        <v>0.0</v>
      </c>
      <c r="W1354" s="17" t="str">
        <f t="shared" si="146"/>
        <v>Данные не заполены</v>
      </c>
      <c r="X1354" s="14" t="str">
        <f t="shared" si="144"/>
        <v>Данные не заполены</v>
      </c>
      <c r="Y1354" s="15">
        <f t="shared" si="145"/>
        <v>0</v>
      </c>
    </row>
    <row r="1355" hidden="1">
      <c r="A1355" s="7">
        <v>44126.314865416665</v>
      </c>
      <c r="B1355" s="8" t="s">
        <v>94</v>
      </c>
      <c r="C1355" s="8">
        <v>22575.0</v>
      </c>
      <c r="D1355" s="8" t="s">
        <v>27</v>
      </c>
      <c r="E1355" s="8" t="s">
        <v>68</v>
      </c>
      <c r="L1355" s="8" t="s">
        <v>31</v>
      </c>
      <c r="M1355" s="8" t="s">
        <v>34</v>
      </c>
      <c r="P1355" s="9">
        <v>44125.0</v>
      </c>
      <c r="Q1355" s="10">
        <v>0.020833333335758653</v>
      </c>
      <c r="R1355" s="11" t="str">
        <f t="shared" si="1"/>
        <v>Прохождение обучения</v>
      </c>
      <c r="S1355" s="16" t="str">
        <f>iferror(VLOOKUP(C1355,'ФИО'!A:B,2,0),"учётный код не найден")</f>
        <v>Куликов Виктор Алексеевич</v>
      </c>
      <c r="T1355" s="13" t="str">
        <f t="shared" si="2"/>
        <v/>
      </c>
      <c r="W1355" s="17" t="str">
        <f t="shared" si="146"/>
        <v>Данные не заполены</v>
      </c>
      <c r="X1355" s="14" t="str">
        <f t="shared" si="144"/>
        <v>Данные не заполены</v>
      </c>
      <c r="Y1355" s="15">
        <f t="shared" si="145"/>
        <v>0</v>
      </c>
    </row>
    <row r="1356" hidden="1">
      <c r="A1356" s="7">
        <v>44127.31142290509</v>
      </c>
      <c r="B1356" s="8" t="s">
        <v>94</v>
      </c>
      <c r="C1356" s="8">
        <v>21928.0</v>
      </c>
      <c r="D1356" s="8" t="s">
        <v>27</v>
      </c>
      <c r="E1356" s="8" t="s">
        <v>67</v>
      </c>
      <c r="G1356" s="8">
        <v>3804.0</v>
      </c>
      <c r="H1356" s="8" t="s">
        <v>45</v>
      </c>
      <c r="K1356" s="8" t="s">
        <v>52</v>
      </c>
      <c r="L1356" s="8" t="s">
        <v>37</v>
      </c>
      <c r="P1356" s="9">
        <v>44126.0</v>
      </c>
      <c r="Q1356" s="10">
        <v>0.055555555554747116</v>
      </c>
      <c r="R1356" s="11" t="str">
        <f t="shared" si="1"/>
        <v>Сборка на линии Prim</v>
      </c>
      <c r="S1356" s="16" t="str">
        <f>iferror(VLOOKUP(C1356,'ФИО'!A:B,2,0),"учётный код не найден")</f>
        <v>Савченко Виктория Андреевна</v>
      </c>
      <c r="T1356" s="13" t="str">
        <f t="shared" si="2"/>
        <v>М17V2 (900-00018.D)_910-00023.H и ПУ 910-00012.I</v>
      </c>
      <c r="U1356" s="8">
        <v>0.0</v>
      </c>
      <c r="V1356" s="8">
        <v>0.0</v>
      </c>
      <c r="W1356" s="17" t="str">
        <f t="shared" si="146"/>
        <v>Данные не заполены</v>
      </c>
      <c r="X1356" s="14" t="str">
        <f t="shared" si="144"/>
        <v>Данные не заполены</v>
      </c>
      <c r="Y1356" s="15">
        <f t="shared" si="145"/>
        <v>0</v>
      </c>
    </row>
    <row r="1357" hidden="1">
      <c r="A1357" s="7">
        <v>44127.29929650463</v>
      </c>
      <c r="B1357" s="8" t="s">
        <v>94</v>
      </c>
      <c r="C1357" s="8">
        <v>21426.0</v>
      </c>
      <c r="D1357" s="8" t="s">
        <v>27</v>
      </c>
      <c r="E1357" s="8" t="s">
        <v>67</v>
      </c>
      <c r="G1357" s="8">
        <v>3804.0</v>
      </c>
      <c r="H1357" s="8" t="s">
        <v>45</v>
      </c>
      <c r="K1357" s="8" t="s">
        <v>52</v>
      </c>
      <c r="L1357" s="8" t="s">
        <v>37</v>
      </c>
      <c r="P1357" s="9">
        <v>44126.0</v>
      </c>
      <c r="Q1357" s="10">
        <v>0.020833333335758653</v>
      </c>
      <c r="R1357" s="11" t="str">
        <f t="shared" si="1"/>
        <v>Сборка на линии Prim</v>
      </c>
      <c r="S1357" s="16" t="str">
        <f>iferror(VLOOKUP(C1357,'ФИО'!A:B,2,0),"учётный код не найден")</f>
        <v>Скибинский Антон Германович</v>
      </c>
      <c r="T1357" s="13" t="str">
        <f t="shared" si="2"/>
        <v>М17V2 (900-00018.D)_910-00023.H и ПУ 910-00012.I</v>
      </c>
      <c r="U1357" s="8">
        <v>0.0</v>
      </c>
      <c r="V1357" s="8">
        <v>0.0</v>
      </c>
      <c r="W1357" s="17" t="str">
        <f t="shared" si="146"/>
        <v>Данные не заполены</v>
      </c>
      <c r="X1357" s="14" t="str">
        <f t="shared" si="144"/>
        <v>Данные не заполены</v>
      </c>
      <c r="Y1357" s="15">
        <f t="shared" si="145"/>
        <v>0</v>
      </c>
    </row>
    <row r="1358" hidden="1">
      <c r="A1358" s="7">
        <v>44121.81724091435</v>
      </c>
      <c r="B1358" s="8" t="s">
        <v>26</v>
      </c>
      <c r="C1358" s="8">
        <v>21522.0</v>
      </c>
      <c r="D1358" s="8" t="s">
        <v>27</v>
      </c>
      <c r="E1358" s="8" t="s">
        <v>67</v>
      </c>
      <c r="G1358" s="8">
        <v>3754.0</v>
      </c>
      <c r="H1358" s="8" t="s">
        <v>45</v>
      </c>
      <c r="K1358" s="8" t="s">
        <v>119</v>
      </c>
      <c r="L1358" s="8" t="s">
        <v>37</v>
      </c>
      <c r="P1358" s="9">
        <v>44121.0</v>
      </c>
      <c r="Q1358" s="10">
        <v>0.33333333333575865</v>
      </c>
      <c r="R1358" s="11" t="str">
        <f t="shared" si="1"/>
        <v>Сборка на линии Prim</v>
      </c>
      <c r="S1358" s="16" t="str">
        <f>iferror(VLOOKUP(C1358,'ФИО'!A:B,2,0),"учётный код не найден")</f>
        <v>Исаев Никита Дмитриевич</v>
      </c>
      <c r="T1358" s="13" t="str">
        <f t="shared" si="2"/>
        <v>ПУ 910-00134.B (A96 модуль 2CAN+2LIN)</v>
      </c>
      <c r="U1358" s="8">
        <v>0.0</v>
      </c>
      <c r="V1358" s="8">
        <v>0.0</v>
      </c>
      <c r="W1358" s="17" t="str">
        <f t="shared" si="146"/>
        <v>Данные не заполены</v>
      </c>
      <c r="X1358" s="14" t="str">
        <f t="shared" si="144"/>
        <v>Данные не заполены</v>
      </c>
      <c r="Y1358" s="15">
        <f t="shared" si="145"/>
        <v>0</v>
      </c>
    </row>
    <row r="1359" hidden="1">
      <c r="A1359" s="7">
        <v>44130.30542538194</v>
      </c>
      <c r="B1359" s="8" t="s">
        <v>76</v>
      </c>
      <c r="C1359" s="8">
        <v>22011.0</v>
      </c>
      <c r="D1359" s="8" t="s">
        <v>27</v>
      </c>
      <c r="E1359" s="8" t="s">
        <v>67</v>
      </c>
      <c r="G1359" s="8">
        <v>3237.0</v>
      </c>
      <c r="H1359" s="8" t="s">
        <v>29</v>
      </c>
      <c r="I1359" s="8" t="s">
        <v>56</v>
      </c>
      <c r="L1359" s="8" t="s">
        <v>37</v>
      </c>
      <c r="P1359" s="9">
        <v>44129.0</v>
      </c>
      <c r="Q1359" s="10">
        <v>0.13194444444525288</v>
      </c>
      <c r="R1359" s="11" t="str">
        <f t="shared" si="1"/>
        <v>Сборка на линии Prim</v>
      </c>
      <c r="S1359" s="12" t="str">
        <f>iferror(VLOOKUP(C1359,'ФИО'!A:B,2,0),"учётный код не найден")</f>
        <v>Сергеев Алексей Андреевич</v>
      </c>
      <c r="T1359" s="13" t="str">
        <f t="shared" si="2"/>
        <v>915-00098.А - ПКБУИК-38 АСЛБ.465122.020 (Квант)</v>
      </c>
      <c r="U1359" s="8">
        <v>0.0</v>
      </c>
      <c r="V1359" s="8">
        <v>0.0</v>
      </c>
      <c r="W1359" s="17" t="str">
        <f t="shared" si="146"/>
        <v>Данные не заполены</v>
      </c>
      <c r="X1359" s="14" t="str">
        <f t="shared" si="144"/>
        <v>Данные не заполены</v>
      </c>
      <c r="Y1359" s="15">
        <f t="shared" si="145"/>
        <v>0</v>
      </c>
    </row>
    <row r="1360" hidden="1">
      <c r="A1360" s="7">
        <v>44130.30560975695</v>
      </c>
      <c r="B1360" s="8" t="s">
        <v>76</v>
      </c>
      <c r="C1360" s="8">
        <v>21954.0</v>
      </c>
      <c r="D1360" s="8" t="s">
        <v>27</v>
      </c>
      <c r="E1360" s="8" t="s">
        <v>67</v>
      </c>
      <c r="G1360" s="8">
        <v>3237.0</v>
      </c>
      <c r="H1360" s="8" t="s">
        <v>29</v>
      </c>
      <c r="I1360" s="8" t="s">
        <v>56</v>
      </c>
      <c r="L1360" s="8" t="s">
        <v>31</v>
      </c>
      <c r="M1360" s="8" t="s">
        <v>295</v>
      </c>
      <c r="P1360" s="9">
        <v>44129.0</v>
      </c>
      <c r="Q1360" s="10">
        <v>0.22916666666424135</v>
      </c>
      <c r="R1360" s="11" t="str">
        <f t="shared" si="1"/>
        <v>Сборка на линии Prim</v>
      </c>
      <c r="S1360" s="12" t="str">
        <f>iferror(VLOOKUP(C1360,'ФИО'!A:B,2,0),"учётный код не найден")</f>
        <v>Александров Александр Викторович</v>
      </c>
      <c r="T1360" s="13" t="str">
        <f t="shared" si="2"/>
        <v>915-00098.А - ПКБУИК-38 АСЛБ.465122.020 (Квант)</v>
      </c>
      <c r="U1360" s="8">
        <v>0.0</v>
      </c>
      <c r="V1360" s="8">
        <v>0.0</v>
      </c>
      <c r="W1360" s="17" t="str">
        <f t="shared" si="146"/>
        <v>Данные не заполены</v>
      </c>
      <c r="X1360" s="14" t="str">
        <f t="shared" si="144"/>
        <v>Данные не заполены</v>
      </c>
      <c r="Y1360" s="15">
        <f t="shared" si="145"/>
        <v>0</v>
      </c>
    </row>
    <row r="1361" hidden="1">
      <c r="A1361" s="7">
        <v>44130.31116571759</v>
      </c>
      <c r="B1361" s="8" t="s">
        <v>76</v>
      </c>
      <c r="C1361" s="8">
        <v>21504.0</v>
      </c>
      <c r="D1361" s="8" t="s">
        <v>27</v>
      </c>
      <c r="E1361" s="8" t="s">
        <v>67</v>
      </c>
      <c r="G1361" s="8">
        <v>3237.0</v>
      </c>
      <c r="H1361" s="8" t="s">
        <v>29</v>
      </c>
      <c r="I1361" s="8" t="s">
        <v>56</v>
      </c>
      <c r="L1361" s="8" t="s">
        <v>37</v>
      </c>
      <c r="P1361" s="9">
        <v>44129.0</v>
      </c>
      <c r="Q1361" s="10">
        <v>0.04166666666424135</v>
      </c>
      <c r="R1361" s="11" t="str">
        <f t="shared" si="1"/>
        <v>Сборка на линии Prim</v>
      </c>
      <c r="S1361" s="12" t="str">
        <f>iferror(VLOOKUP(C1361,'ФИО'!A:B,2,0),"учётный код не найден")</f>
        <v>Александрова Елена Сергеевна</v>
      </c>
      <c r="T1361" s="13" t="str">
        <f t="shared" si="2"/>
        <v>915-00098.А - ПКБУИК-38 АСЛБ.465122.020 (Квант)</v>
      </c>
      <c r="U1361" s="8">
        <v>0.0</v>
      </c>
      <c r="V1361" s="8">
        <v>0.0</v>
      </c>
      <c r="W1361" s="17" t="str">
        <f t="shared" si="146"/>
        <v>Данные не заполены</v>
      </c>
      <c r="X1361" s="14" t="str">
        <f t="shared" si="144"/>
        <v>Данные не заполены</v>
      </c>
      <c r="Y1361" s="15">
        <f t="shared" si="145"/>
        <v>0</v>
      </c>
    </row>
    <row r="1362" hidden="1">
      <c r="A1362" s="7">
        <v>44130.31578366898</v>
      </c>
      <c r="B1362" s="8" t="s">
        <v>76</v>
      </c>
      <c r="C1362" s="8">
        <v>21852.0</v>
      </c>
      <c r="D1362" s="8" t="s">
        <v>27</v>
      </c>
      <c r="E1362" s="8" t="s">
        <v>67</v>
      </c>
      <c r="G1362" s="8">
        <v>3237.0</v>
      </c>
      <c r="H1362" s="8" t="s">
        <v>29</v>
      </c>
      <c r="I1362" s="8" t="s">
        <v>56</v>
      </c>
      <c r="L1362" s="8" t="s">
        <v>37</v>
      </c>
      <c r="P1362" s="9">
        <v>44129.0</v>
      </c>
      <c r="Q1362" s="10">
        <v>0.17361111110949423</v>
      </c>
      <c r="R1362" s="11" t="str">
        <f t="shared" si="1"/>
        <v>Сборка на линии Prim</v>
      </c>
      <c r="S1362" s="12" t="str">
        <f>iferror(VLOOKUP(C1362,'ФИО'!A:B,2,0),"учётный код не найден")</f>
        <v>Пономарев Юрий Андреевич</v>
      </c>
      <c r="T1362" s="13" t="str">
        <f t="shared" si="2"/>
        <v>915-00098.А - ПКБУИК-38 АСЛБ.465122.020 (Квант)</v>
      </c>
      <c r="U1362" s="8">
        <v>0.0</v>
      </c>
      <c r="V1362" s="8">
        <v>0.0</v>
      </c>
      <c r="W1362" s="17" t="str">
        <f t="shared" si="146"/>
        <v>Данные не заполены</v>
      </c>
      <c r="X1362" s="14" t="str">
        <f t="shared" si="144"/>
        <v>Данные не заполены</v>
      </c>
      <c r="Y1362" s="15">
        <f t="shared" si="145"/>
        <v>0</v>
      </c>
    </row>
    <row r="1363" hidden="1">
      <c r="A1363" s="7">
        <v>44130.80620604167</v>
      </c>
      <c r="B1363" s="8" t="s">
        <v>87</v>
      </c>
      <c r="C1363" s="8">
        <v>21426.0</v>
      </c>
      <c r="D1363" s="8" t="s">
        <v>27</v>
      </c>
      <c r="E1363" s="8" t="s">
        <v>67</v>
      </c>
      <c r="G1363" s="8">
        <v>3793.0</v>
      </c>
      <c r="H1363" s="8" t="s">
        <v>29</v>
      </c>
      <c r="I1363" s="8" t="s">
        <v>163</v>
      </c>
      <c r="L1363" s="8" t="s">
        <v>37</v>
      </c>
      <c r="P1363" s="9">
        <v>44130.0</v>
      </c>
      <c r="Q1363" s="10">
        <v>0.29166666666424135</v>
      </c>
      <c r="R1363" s="11" t="str">
        <f t="shared" si="1"/>
        <v>Сборка на линии Prim</v>
      </c>
      <c r="S1363" s="12" t="str">
        <f>iferror(VLOOKUP(C1363,'ФИО'!A:B,2,0),"учётный код не найден")</f>
        <v>Скибинский Антон Германович</v>
      </c>
      <c r="T1363" s="13" t="str">
        <f t="shared" si="2"/>
        <v>915-00068.A - uklsip(s)220_v3.01 (Гефест)</v>
      </c>
      <c r="U1363" s="8">
        <v>0.0</v>
      </c>
      <c r="V1363" s="8">
        <v>0.0</v>
      </c>
      <c r="W1363" s="17" t="str">
        <f t="shared" si="146"/>
        <v>Данные не заполены</v>
      </c>
      <c r="X1363" s="14" t="str">
        <f t="shared" si="144"/>
        <v>Данные не заполены</v>
      </c>
      <c r="Y1363" s="15">
        <f t="shared" si="145"/>
        <v>0</v>
      </c>
    </row>
    <row r="1364" hidden="1">
      <c r="A1364" s="7">
        <v>44130.816729293976</v>
      </c>
      <c r="B1364" s="8" t="s">
        <v>87</v>
      </c>
      <c r="C1364" s="8">
        <v>20985.0</v>
      </c>
      <c r="D1364" s="8" t="s">
        <v>27</v>
      </c>
      <c r="E1364" s="8" t="s">
        <v>67</v>
      </c>
      <c r="G1364" s="8">
        <v>3793.0</v>
      </c>
      <c r="H1364" s="8" t="s">
        <v>29</v>
      </c>
      <c r="I1364" s="8" t="s">
        <v>163</v>
      </c>
      <c r="L1364" s="8" t="s">
        <v>37</v>
      </c>
      <c r="P1364" s="9">
        <v>44130.0</v>
      </c>
      <c r="Q1364" s="10">
        <v>0.08333333333575865</v>
      </c>
      <c r="R1364" s="11" t="str">
        <f t="shared" si="1"/>
        <v>Сборка на линии Prim</v>
      </c>
      <c r="S1364" s="12" t="str">
        <f>iferror(VLOOKUP(C1364,'ФИО'!A:B,2,0),"учётный код не найден")</f>
        <v>Никонорова Наталия Владимировна</v>
      </c>
      <c r="T1364" s="13" t="str">
        <f t="shared" si="2"/>
        <v>915-00068.A - uklsip(s)220_v3.01 (Гефест)</v>
      </c>
      <c r="U1364" s="8">
        <v>0.0</v>
      </c>
      <c r="V1364" s="8">
        <v>0.0</v>
      </c>
      <c r="W1364" s="17" t="str">
        <f t="shared" si="146"/>
        <v>Данные не заполены</v>
      </c>
      <c r="X1364" s="14" t="str">
        <f t="shared" si="144"/>
        <v>Данные не заполены</v>
      </c>
      <c r="Y1364" s="15">
        <f t="shared" si="145"/>
        <v>0</v>
      </c>
    </row>
    <row r="1365" hidden="1">
      <c r="A1365" s="7">
        <v>44126.31523738426</v>
      </c>
      <c r="B1365" s="8" t="s">
        <v>94</v>
      </c>
      <c r="C1365" s="8">
        <v>22575.0</v>
      </c>
      <c r="D1365" s="8" t="s">
        <v>27</v>
      </c>
      <c r="E1365" s="8" t="s">
        <v>111</v>
      </c>
      <c r="L1365" s="8" t="s">
        <v>31</v>
      </c>
      <c r="M1365" s="8" t="s">
        <v>34</v>
      </c>
      <c r="P1365" s="9">
        <v>44125.0</v>
      </c>
      <c r="Q1365" s="10">
        <v>0.006944444445252884</v>
      </c>
      <c r="R1365" s="11" t="str">
        <f t="shared" si="1"/>
        <v>Уборка линии</v>
      </c>
      <c r="S1365" s="16" t="str">
        <f>iferror(VLOOKUP(C1365,'ФИО'!A:B,2,0),"учётный код не найден")</f>
        <v>Куликов Виктор Алексеевич</v>
      </c>
      <c r="T1365" s="13" t="str">
        <f t="shared" si="2"/>
        <v/>
      </c>
      <c r="W1365" s="17" t="str">
        <f t="shared" si="146"/>
        <v>Данные не заполены</v>
      </c>
      <c r="X1365" s="14" t="str">
        <f t="shared" si="144"/>
        <v>Данные не заполены</v>
      </c>
      <c r="Y1365" s="15">
        <f t="shared" si="145"/>
        <v>0</v>
      </c>
    </row>
    <row r="1366" hidden="1">
      <c r="A1366" s="7">
        <v>44130.82395893519</v>
      </c>
      <c r="B1366" s="8" t="s">
        <v>87</v>
      </c>
      <c r="C1366" s="8">
        <v>21928.0</v>
      </c>
      <c r="D1366" s="8" t="s">
        <v>27</v>
      </c>
      <c r="E1366" s="8" t="s">
        <v>67</v>
      </c>
      <c r="G1366" s="8">
        <v>3793.0</v>
      </c>
      <c r="H1366" s="8" t="s">
        <v>29</v>
      </c>
      <c r="I1366" s="8" t="s">
        <v>163</v>
      </c>
      <c r="L1366" s="8" t="s">
        <v>37</v>
      </c>
      <c r="P1366" s="9">
        <v>44130.0</v>
      </c>
      <c r="Q1366" s="10">
        <v>0.08333333333575865</v>
      </c>
      <c r="R1366" s="11" t="str">
        <f t="shared" si="1"/>
        <v>Сборка на линии Prim</v>
      </c>
      <c r="S1366" s="12" t="str">
        <f>iferror(VLOOKUP(C1366,'ФИО'!A:B,2,0),"учётный код не найден")</f>
        <v>Савченко Виктория Андреевна</v>
      </c>
      <c r="T1366" s="13" t="str">
        <f t="shared" si="2"/>
        <v>915-00068.A - uklsip(s)220_v3.01 (Гефест)</v>
      </c>
      <c r="U1366" s="8">
        <v>0.0</v>
      </c>
      <c r="V1366" s="8">
        <v>0.0</v>
      </c>
      <c r="W1366" s="17" t="str">
        <f t="shared" si="146"/>
        <v>Данные не заполены</v>
      </c>
      <c r="X1366" s="14" t="str">
        <f t="shared" si="144"/>
        <v>Данные не заполены</v>
      </c>
      <c r="Y1366" s="15">
        <f t="shared" si="145"/>
        <v>0</v>
      </c>
    </row>
    <row r="1367" hidden="1">
      <c r="A1367" s="7">
        <v>44131.317811099536</v>
      </c>
      <c r="B1367" s="8" t="s">
        <v>76</v>
      </c>
      <c r="C1367" s="8">
        <v>22011.0</v>
      </c>
      <c r="D1367" s="8" t="s">
        <v>27</v>
      </c>
      <c r="E1367" s="8" t="s">
        <v>67</v>
      </c>
      <c r="G1367" s="8">
        <v>3793.0</v>
      </c>
      <c r="H1367" s="8" t="s">
        <v>29</v>
      </c>
      <c r="I1367" s="8" t="s">
        <v>163</v>
      </c>
      <c r="L1367" s="8" t="s">
        <v>37</v>
      </c>
      <c r="P1367" s="9">
        <v>44130.0</v>
      </c>
      <c r="Q1367" s="10">
        <v>0.16666666666424135</v>
      </c>
      <c r="R1367" s="11" t="str">
        <f t="shared" si="1"/>
        <v>Сборка на линии Prim</v>
      </c>
      <c r="S1367" s="12" t="str">
        <f>iferror(VLOOKUP(C1367,'ФИО'!A:B,2,0),"учётный код не найден")</f>
        <v>Сергеев Алексей Андреевич</v>
      </c>
      <c r="T1367" s="13" t="str">
        <f t="shared" si="2"/>
        <v>915-00068.A - uklsip(s)220_v3.01 (Гефест)</v>
      </c>
      <c r="U1367" s="8">
        <v>0.0</v>
      </c>
      <c r="V1367" s="8">
        <v>0.0</v>
      </c>
      <c r="W1367" s="17" t="str">
        <f t="shared" si="146"/>
        <v>Данные не заполены</v>
      </c>
      <c r="X1367" s="14" t="str">
        <f t="shared" si="144"/>
        <v>Данные не заполены</v>
      </c>
      <c r="Y1367" s="15">
        <f t="shared" si="145"/>
        <v>0</v>
      </c>
    </row>
    <row r="1368" hidden="1">
      <c r="A1368" s="7">
        <v>44131.321478541664</v>
      </c>
      <c r="B1368" s="8" t="s">
        <v>76</v>
      </c>
      <c r="C1368" s="8">
        <v>21954.0</v>
      </c>
      <c r="D1368" s="8" t="s">
        <v>27</v>
      </c>
      <c r="E1368" s="8" t="s">
        <v>67</v>
      </c>
      <c r="G1368" s="8">
        <v>3793.0</v>
      </c>
      <c r="H1368" s="8" t="s">
        <v>29</v>
      </c>
      <c r="I1368" s="8" t="s">
        <v>163</v>
      </c>
      <c r="L1368" s="8" t="s">
        <v>37</v>
      </c>
      <c r="P1368" s="9">
        <v>44130.0</v>
      </c>
      <c r="Q1368" s="10">
        <v>0.16666666666424135</v>
      </c>
      <c r="R1368" s="11" t="str">
        <f t="shared" si="1"/>
        <v>Сборка на линии Prim</v>
      </c>
      <c r="S1368" s="12" t="str">
        <f>iferror(VLOOKUP(C1368,'ФИО'!A:B,2,0),"учётный код не найден")</f>
        <v>Александров Александр Викторович</v>
      </c>
      <c r="T1368" s="13" t="str">
        <f t="shared" si="2"/>
        <v>915-00068.A - uklsip(s)220_v3.01 (Гефест)</v>
      </c>
      <c r="U1368" s="8">
        <v>0.0</v>
      </c>
      <c r="V1368" s="8">
        <v>0.0</v>
      </c>
      <c r="W1368" s="17" t="str">
        <f t="shared" si="146"/>
        <v>Данные не заполены</v>
      </c>
      <c r="X1368" s="14" t="str">
        <f t="shared" si="144"/>
        <v>Данные не заполены</v>
      </c>
      <c r="Y1368" s="15">
        <f t="shared" si="145"/>
        <v>0</v>
      </c>
    </row>
    <row r="1369" hidden="1">
      <c r="A1369" s="7">
        <v>44131.332703078704</v>
      </c>
      <c r="B1369" s="8" t="s">
        <v>76</v>
      </c>
      <c r="C1369" s="8">
        <v>21852.0</v>
      </c>
      <c r="D1369" s="8" t="s">
        <v>27</v>
      </c>
      <c r="E1369" s="8" t="s">
        <v>67</v>
      </c>
      <c r="G1369" s="8">
        <v>3793.0</v>
      </c>
      <c r="H1369" s="8" t="s">
        <v>29</v>
      </c>
      <c r="I1369" s="8" t="s">
        <v>163</v>
      </c>
      <c r="L1369" s="8" t="s">
        <v>37</v>
      </c>
      <c r="P1369" s="9">
        <v>44130.0</v>
      </c>
      <c r="Q1369" s="10">
        <v>0.16666666666424135</v>
      </c>
      <c r="R1369" s="11" t="str">
        <f t="shared" si="1"/>
        <v>Сборка на линии Prim</v>
      </c>
      <c r="S1369" s="12" t="str">
        <f>iferror(VLOOKUP(C1369,'ФИО'!A:B,2,0),"учётный код не найден")</f>
        <v>Пономарев Юрий Андреевич</v>
      </c>
      <c r="T1369" s="13" t="str">
        <f t="shared" si="2"/>
        <v>915-00068.A - uklsip(s)220_v3.01 (Гефест)</v>
      </c>
      <c r="U1369" s="8">
        <v>0.0</v>
      </c>
      <c r="V1369" s="8">
        <v>0.0</v>
      </c>
      <c r="W1369" s="17" t="str">
        <f t="shared" si="146"/>
        <v>Данные не заполены</v>
      </c>
      <c r="X1369" s="14" t="str">
        <f t="shared" si="144"/>
        <v>Данные не заполены</v>
      </c>
      <c r="Y1369" s="15">
        <f t="shared" si="145"/>
        <v>0</v>
      </c>
    </row>
    <row r="1370" hidden="1">
      <c r="A1370" s="7">
        <v>44131.81712024305</v>
      </c>
      <c r="B1370" s="8" t="s">
        <v>87</v>
      </c>
      <c r="C1370" s="8">
        <v>21426.0</v>
      </c>
      <c r="D1370" s="8" t="s">
        <v>27</v>
      </c>
      <c r="E1370" s="8" t="s">
        <v>67</v>
      </c>
      <c r="G1370" s="8">
        <v>3621.0</v>
      </c>
      <c r="H1370" s="8" t="s">
        <v>29</v>
      </c>
      <c r="I1370" s="8" t="s">
        <v>54</v>
      </c>
      <c r="L1370" s="8" t="s">
        <v>37</v>
      </c>
      <c r="P1370" s="9">
        <v>44131.0</v>
      </c>
      <c r="Q1370" s="10">
        <v>0.20138888889050577</v>
      </c>
      <c r="R1370" s="11" t="str">
        <f t="shared" si="1"/>
        <v>Сборка на линии Prim</v>
      </c>
      <c r="S1370" s="12" t="str">
        <f>iferror(VLOOKUP(C1370,'ФИО'!A:B,2,0),"учётный код не найден")</f>
        <v>Скибинский Антон Германович</v>
      </c>
      <c r="T1370" s="13" t="str">
        <f t="shared" si="2"/>
        <v>915-00121.A - Процессорный модуль РСЕН.469555.027 (КНС Групп)</v>
      </c>
      <c r="U1370" s="8">
        <v>5.0</v>
      </c>
      <c r="V1370" s="8">
        <v>0.0</v>
      </c>
      <c r="W1370" s="17" t="str">
        <f t="shared" si="146"/>
        <v>Данные не заполены</v>
      </c>
      <c r="X1370" s="14" t="str">
        <f t="shared" si="144"/>
        <v>Данные не заполены</v>
      </c>
      <c r="Y1370" s="15">
        <f t="shared" si="145"/>
        <v>0</v>
      </c>
    </row>
    <row r="1371" hidden="1">
      <c r="A1371" s="7">
        <v>44126.316685729165</v>
      </c>
      <c r="B1371" s="8" t="s">
        <v>94</v>
      </c>
      <c r="C1371" s="8">
        <v>22575.0</v>
      </c>
      <c r="D1371" s="8" t="s">
        <v>27</v>
      </c>
      <c r="E1371" s="8" t="s">
        <v>67</v>
      </c>
      <c r="G1371" s="8">
        <v>3804.0</v>
      </c>
      <c r="H1371" s="8" t="s">
        <v>45</v>
      </c>
      <c r="K1371" s="8" t="s">
        <v>52</v>
      </c>
      <c r="L1371" s="8" t="s">
        <v>37</v>
      </c>
      <c r="P1371" s="9">
        <v>44125.0</v>
      </c>
      <c r="Q1371" s="10">
        <v>0.15277777778101154</v>
      </c>
      <c r="R1371" s="11" t="str">
        <f t="shared" si="1"/>
        <v>Сборка на линии Prim</v>
      </c>
      <c r="S1371" s="16" t="str">
        <f>iferror(VLOOKUP(C1371,'ФИО'!A:B,2,0),"учётный код не найден")</f>
        <v>Куликов Виктор Алексеевич</v>
      </c>
      <c r="T1371" s="13" t="str">
        <f t="shared" si="2"/>
        <v>М17V2 (900-00018.D)_910-00023.H и ПУ 910-00012.I</v>
      </c>
      <c r="U1371" s="8">
        <v>0.0</v>
      </c>
      <c r="V1371" s="8">
        <v>0.0</v>
      </c>
      <c r="W1371" s="17" t="str">
        <f t="shared" si="146"/>
        <v>Данные не заполены</v>
      </c>
      <c r="X1371" s="14" t="str">
        <f t="shared" si="144"/>
        <v>Данные не заполены</v>
      </c>
      <c r="Y1371" s="15">
        <f t="shared" si="145"/>
        <v>0</v>
      </c>
    </row>
    <row r="1372" hidden="1">
      <c r="A1372" s="7">
        <v>44130.790728946755</v>
      </c>
      <c r="B1372" s="8" t="s">
        <v>87</v>
      </c>
      <c r="C1372" s="8">
        <v>60000.0</v>
      </c>
      <c r="D1372" s="8" t="s">
        <v>69</v>
      </c>
      <c r="F1372" s="8" t="s">
        <v>80</v>
      </c>
      <c r="G1372" s="8">
        <v>3252.0</v>
      </c>
      <c r="H1372" s="8" t="s">
        <v>29</v>
      </c>
      <c r="I1372" s="8" t="s">
        <v>96</v>
      </c>
      <c r="L1372" s="8" t="s">
        <v>31</v>
      </c>
      <c r="M1372" s="8" t="s">
        <v>34</v>
      </c>
      <c r="O1372" s="8"/>
      <c r="P1372" s="9">
        <v>44130.0</v>
      </c>
      <c r="Q1372" s="10">
        <v>0.013888888890505768</v>
      </c>
      <c r="R1372" s="11" t="str">
        <f t="shared" si="1"/>
        <v>Пайка компонентов SEC</v>
      </c>
      <c r="S1372" s="12" t="str">
        <f>iferror(VLOOKUP(C1372,'ФИО'!A:B,2,0),"учётный код не найден")</f>
        <v>THT</v>
      </c>
      <c r="T1372" s="13" t="str">
        <f t="shared" si="2"/>
        <v>915-00096.A - ПКД-8В-2 АСЛБ.467249.109</v>
      </c>
      <c r="U1372" s="8">
        <v>6.0</v>
      </c>
      <c r="V1372" s="8">
        <v>0.0</v>
      </c>
      <c r="W1372" s="17" t="str">
        <f t="shared" si="146"/>
        <v>Данные не заполены</v>
      </c>
      <c r="X1372" s="14" t="str">
        <f t="shared" si="144"/>
        <v>Данные не заполены</v>
      </c>
      <c r="Y1372" s="15">
        <f t="shared" si="145"/>
        <v>0</v>
      </c>
    </row>
    <row r="1373" hidden="1">
      <c r="A1373" s="7">
        <v>44130.79216181713</v>
      </c>
      <c r="B1373" s="8" t="s">
        <v>87</v>
      </c>
      <c r="C1373" s="8">
        <v>60000.0</v>
      </c>
      <c r="D1373" s="8" t="s">
        <v>69</v>
      </c>
      <c r="F1373" s="8" t="s">
        <v>80</v>
      </c>
      <c r="G1373" s="8">
        <v>3253.0</v>
      </c>
      <c r="H1373" s="8" t="s">
        <v>29</v>
      </c>
      <c r="I1373" s="8" t="s">
        <v>95</v>
      </c>
      <c r="L1373" s="8" t="s">
        <v>31</v>
      </c>
      <c r="M1373" s="8" t="s">
        <v>34</v>
      </c>
      <c r="N1373" s="8">
        <v>1.0</v>
      </c>
      <c r="O1373" s="8">
        <v>40.0</v>
      </c>
      <c r="P1373" s="9">
        <v>44130.0</v>
      </c>
      <c r="Q1373" s="10">
        <v>0.027777777781011537</v>
      </c>
      <c r="R1373" s="11" t="str">
        <f t="shared" si="1"/>
        <v>Пайка компонентов SEC</v>
      </c>
      <c r="S1373" s="12" t="str">
        <f>iferror(VLOOKUP(C1373,'ФИО'!A:B,2,0),"учётный код не найден")</f>
        <v>THT</v>
      </c>
      <c r="T1373" s="13" t="str">
        <f t="shared" si="2"/>
        <v>915-00095.A - ПКД-8В-1 АСЛБ.467249.108 (Квант)</v>
      </c>
      <c r="U1373" s="8">
        <v>46.0</v>
      </c>
      <c r="V1373" s="8">
        <v>0.0</v>
      </c>
      <c r="W1373" s="17">
        <f t="shared" si="146"/>
        <v>672.21</v>
      </c>
      <c r="X1373" s="14">
        <f t="shared" si="144"/>
        <v>1.129111438</v>
      </c>
      <c r="Y1373" s="15">
        <f t="shared" si="145"/>
        <v>0</v>
      </c>
    </row>
    <row r="1374" hidden="1">
      <c r="A1374" s="7">
        <v>44131.82839776621</v>
      </c>
      <c r="B1374" s="8" t="s">
        <v>87</v>
      </c>
      <c r="C1374" s="8">
        <v>21928.0</v>
      </c>
      <c r="D1374" s="8" t="s">
        <v>27</v>
      </c>
      <c r="E1374" s="8" t="s">
        <v>67</v>
      </c>
      <c r="G1374" s="8">
        <v>3621.0</v>
      </c>
      <c r="H1374" s="8" t="s">
        <v>29</v>
      </c>
      <c r="I1374" s="8" t="s">
        <v>54</v>
      </c>
      <c r="L1374" s="8" t="s">
        <v>37</v>
      </c>
      <c r="P1374" s="9">
        <v>44131.0</v>
      </c>
      <c r="Q1374" s="10">
        <v>0.125</v>
      </c>
      <c r="R1374" s="11" t="str">
        <f t="shared" si="1"/>
        <v>Сборка на линии Prim</v>
      </c>
      <c r="S1374" s="12" t="str">
        <f>iferror(VLOOKUP(C1374,'ФИО'!A:B,2,0),"учётный код не найден")</f>
        <v>Савченко Виктория Андреевна</v>
      </c>
      <c r="T1374" s="13" t="str">
        <f t="shared" si="2"/>
        <v>915-00121.A - Процессорный модуль РСЕН.469555.027 (КНС Групп)</v>
      </c>
      <c r="U1374" s="8">
        <v>0.0</v>
      </c>
      <c r="V1374" s="8">
        <v>0.0</v>
      </c>
      <c r="W1374" s="17" t="str">
        <f t="shared" si="146"/>
        <v>Данные не заполены</v>
      </c>
      <c r="X1374" s="14" t="str">
        <f t="shared" si="144"/>
        <v>Данные не заполены</v>
      </c>
      <c r="Y1374" s="15">
        <f t="shared" si="145"/>
        <v>0</v>
      </c>
    </row>
    <row r="1375" hidden="1">
      <c r="A1375" s="7">
        <v>44112.8320824074</v>
      </c>
      <c r="B1375" s="8" t="s">
        <v>26</v>
      </c>
      <c r="C1375" s="8">
        <v>21752.0</v>
      </c>
      <c r="D1375" s="8" t="s">
        <v>27</v>
      </c>
      <c r="E1375" s="8" t="s">
        <v>62</v>
      </c>
      <c r="G1375" s="8">
        <v>3580.0</v>
      </c>
      <c r="H1375" s="8" t="s">
        <v>29</v>
      </c>
      <c r="I1375" s="8" t="s">
        <v>145</v>
      </c>
      <c r="L1375" s="8" t="s">
        <v>37</v>
      </c>
      <c r="P1375" s="9">
        <v>44112.0</v>
      </c>
      <c r="Q1375" s="10">
        <v>0.25</v>
      </c>
      <c r="R1375" s="11" t="str">
        <f t="shared" si="1"/>
        <v>ReviewStation pri</v>
      </c>
      <c r="S1375" s="16" t="str">
        <f>iferror(VLOOKUP(C1375,'ФИО'!A:B,2,0),"учётный код не найден")</f>
        <v>Егоров Александр Александрович</v>
      </c>
      <c r="T1375" s="13" t="str">
        <f t="shared" si="2"/>
        <v>XR (OÜ KLARBERG)</v>
      </c>
      <c r="U1375" s="8">
        <v>487.0</v>
      </c>
      <c r="V1375" s="8">
        <v>243.0</v>
      </c>
      <c r="W1375" s="21" t="str">
        <f t="shared" si="146"/>
        <v>Данные не заполены</v>
      </c>
      <c r="X1375" s="15" t="str">
        <f t="shared" si="144"/>
        <v>Данные не заполены</v>
      </c>
      <c r="Y1375" s="15">
        <f t="shared" si="145"/>
        <v>0.498973306</v>
      </c>
      <c r="Z1375" s="8" t="s">
        <v>64</v>
      </c>
    </row>
    <row r="1376" hidden="1">
      <c r="A1376" s="7">
        <v>44125.31578373842</v>
      </c>
      <c r="B1376" s="8" t="s">
        <v>38</v>
      </c>
      <c r="C1376" s="8">
        <v>21522.0</v>
      </c>
      <c r="D1376" s="8" t="s">
        <v>27</v>
      </c>
      <c r="E1376" s="8" t="s">
        <v>67</v>
      </c>
      <c r="G1376" s="8">
        <v>3253.0</v>
      </c>
      <c r="H1376" s="8" t="s">
        <v>29</v>
      </c>
      <c r="I1376" s="8" t="s">
        <v>95</v>
      </c>
      <c r="L1376" s="8" t="s">
        <v>37</v>
      </c>
      <c r="P1376" s="9">
        <v>44124.0</v>
      </c>
      <c r="Q1376" s="10">
        <v>0.1875</v>
      </c>
      <c r="R1376" s="11" t="str">
        <f t="shared" si="1"/>
        <v>Сборка на линии Prim</v>
      </c>
      <c r="S1376" s="16" t="str">
        <f>iferror(VLOOKUP(C1376,'ФИО'!A:B,2,0),"учётный код не найден")</f>
        <v>Исаев Никита Дмитриевич</v>
      </c>
      <c r="T1376" s="13" t="str">
        <f t="shared" si="2"/>
        <v>915-00095.A - ПКД-8В-1 АСЛБ.467249.108 (Квант)</v>
      </c>
      <c r="U1376" s="8">
        <v>0.0</v>
      </c>
      <c r="V1376" s="8">
        <v>0.0</v>
      </c>
      <c r="X1376" s="14" t="str">
        <f t="shared" si="144"/>
        <v>Данные не заполены</v>
      </c>
      <c r="Y1376" s="15">
        <f t="shared" si="145"/>
        <v>0</v>
      </c>
    </row>
    <row r="1377" hidden="1">
      <c r="A1377" s="7">
        <v>44106.81769913195</v>
      </c>
      <c r="B1377" s="8" t="s">
        <v>87</v>
      </c>
      <c r="C1377" s="8">
        <v>22131.0</v>
      </c>
      <c r="D1377" s="8" t="s">
        <v>27</v>
      </c>
      <c r="E1377" s="8" t="s">
        <v>88</v>
      </c>
      <c r="G1377" s="8">
        <v>3579.0</v>
      </c>
      <c r="H1377" s="8" t="s">
        <v>29</v>
      </c>
      <c r="I1377" s="8" t="s">
        <v>77</v>
      </c>
      <c r="L1377" s="8" t="s">
        <v>37</v>
      </c>
      <c r="P1377" s="9">
        <v>44106.0</v>
      </c>
      <c r="Q1377" s="10">
        <v>0.04166666666424135</v>
      </c>
      <c r="R1377" s="13" t="str">
        <f t="shared" si="1"/>
        <v>Сборка на линии Sec</v>
      </c>
      <c r="S1377" s="16" t="str">
        <f>iferror(VLOOKUP(C1377,'ФИО'!A:B,2,0),"учётный код не найден")</f>
        <v>Стосик Степан Владимирович</v>
      </c>
      <c r="T1377" s="13" t="str">
        <f t="shared" si="2"/>
        <v>915-00081.A-Модуль Трик8 (Кибертех)</v>
      </c>
      <c r="U1377" s="8">
        <v>0.0</v>
      </c>
      <c r="V1377" s="8">
        <v>0.0</v>
      </c>
      <c r="W1377" s="21" t="str">
        <f t="shared" ref="W1377:W1401" si="147">IFERROR((((38412/(ifs(O1377&lt;35,35,O1377&gt;34,O1377)/N1377)*0.7))),"Данные не заполены")</f>
        <v>Данные не заполены</v>
      </c>
      <c r="X1377" s="15" t="str">
        <f t="shared" si="144"/>
        <v>Данные не заполены</v>
      </c>
      <c r="Y1377" s="15">
        <f t="shared" si="145"/>
        <v>0</v>
      </c>
    </row>
    <row r="1378" hidden="1">
      <c r="A1378" s="7">
        <v>44106.82956543981</v>
      </c>
      <c r="B1378" s="8" t="s">
        <v>87</v>
      </c>
      <c r="C1378" s="8">
        <v>21426.0</v>
      </c>
      <c r="D1378" s="8" t="s">
        <v>27</v>
      </c>
      <c r="E1378" s="8" t="s">
        <v>88</v>
      </c>
      <c r="G1378" s="8">
        <v>3579.0</v>
      </c>
      <c r="H1378" s="8" t="s">
        <v>29</v>
      </c>
      <c r="I1378" s="8" t="s">
        <v>42</v>
      </c>
      <c r="L1378" s="8" t="s">
        <v>37</v>
      </c>
      <c r="P1378" s="9">
        <v>44106.0</v>
      </c>
      <c r="Q1378" s="10">
        <v>0.020833333335758653</v>
      </c>
      <c r="R1378" s="13" t="str">
        <f t="shared" si="1"/>
        <v>Сборка на линии Sec</v>
      </c>
      <c r="S1378" s="16" t="str">
        <f>iferror(VLOOKUP(C1378,'ФИО'!A:B,2,0),"учётный код не найден")</f>
        <v>Скибинский Антон Германович</v>
      </c>
      <c r="T1378" s="13" t="str">
        <f t="shared" si="2"/>
        <v>915-00070.A - Модуль телематики ТМ1 v3 (Сознательные машины)</v>
      </c>
      <c r="U1378" s="8">
        <v>0.0</v>
      </c>
      <c r="V1378" s="8">
        <v>0.0</v>
      </c>
      <c r="W1378" s="21" t="str">
        <f t="shared" si="147"/>
        <v>Данные не заполены</v>
      </c>
      <c r="X1378" s="15" t="str">
        <f t="shared" si="144"/>
        <v>Данные не заполены</v>
      </c>
      <c r="Y1378" s="15">
        <f t="shared" si="145"/>
        <v>0</v>
      </c>
    </row>
    <row r="1379" hidden="1">
      <c r="A1379" s="7">
        <v>44106.825350162035</v>
      </c>
      <c r="B1379" s="8" t="s">
        <v>87</v>
      </c>
      <c r="C1379" s="8">
        <v>20985.0</v>
      </c>
      <c r="D1379" s="8" t="s">
        <v>27</v>
      </c>
      <c r="E1379" s="8" t="s">
        <v>88</v>
      </c>
      <c r="G1379" s="8">
        <v>3579.0</v>
      </c>
      <c r="H1379" s="8" t="s">
        <v>29</v>
      </c>
      <c r="I1379" s="8" t="s">
        <v>42</v>
      </c>
      <c r="L1379" s="8" t="s">
        <v>37</v>
      </c>
      <c r="P1379" s="9">
        <v>44106.0</v>
      </c>
      <c r="Q1379" s="10">
        <v>0.020833333335758653</v>
      </c>
      <c r="R1379" s="13" t="str">
        <f t="shared" si="1"/>
        <v>Сборка на линии Sec</v>
      </c>
      <c r="S1379" s="16" t="str">
        <f>iferror(VLOOKUP(C1379,'ФИО'!A:B,2,0),"учётный код не найден")</f>
        <v>Никонорова Наталия Владимировна</v>
      </c>
      <c r="T1379" s="13" t="str">
        <f t="shared" si="2"/>
        <v>915-00070.A - Модуль телематики ТМ1 v3 (Сознательные машины)</v>
      </c>
      <c r="U1379" s="8">
        <v>0.0</v>
      </c>
      <c r="V1379" s="8">
        <v>0.0</v>
      </c>
      <c r="W1379" s="21" t="str">
        <f t="shared" si="147"/>
        <v>Данные не заполены</v>
      </c>
      <c r="X1379" s="15" t="str">
        <f t="shared" si="144"/>
        <v>Данные не заполены</v>
      </c>
      <c r="Y1379" s="15">
        <f t="shared" si="145"/>
        <v>0</v>
      </c>
    </row>
    <row r="1380" hidden="1">
      <c r="A1380" s="7">
        <v>44127.30586</v>
      </c>
      <c r="B1380" s="8" t="s">
        <v>94</v>
      </c>
      <c r="C1380" s="8">
        <v>22575.0</v>
      </c>
      <c r="D1380" s="8" t="s">
        <v>27</v>
      </c>
      <c r="E1380" s="8" t="s">
        <v>67</v>
      </c>
      <c r="G1380" s="8">
        <v>3804.0</v>
      </c>
      <c r="H1380" s="8" t="s">
        <v>45</v>
      </c>
      <c r="K1380" s="8" t="s">
        <v>52</v>
      </c>
      <c r="L1380" s="8" t="s">
        <v>37</v>
      </c>
      <c r="P1380" s="9">
        <v>44126.0</v>
      </c>
      <c r="Q1380" s="10">
        <v>0.39583333333575865</v>
      </c>
      <c r="R1380" s="11" t="str">
        <f t="shared" si="1"/>
        <v>Сборка на линии Prim</v>
      </c>
      <c r="S1380" s="16" t="str">
        <f>iferror(VLOOKUP(C1380,'ФИО'!A:B,2,0),"учётный код не найден")</f>
        <v>Куликов Виктор Алексеевич</v>
      </c>
      <c r="T1380" s="13" t="str">
        <f t="shared" si="2"/>
        <v>М17V2 (900-00018.D)_910-00023.H и ПУ 910-00012.I</v>
      </c>
      <c r="U1380" s="8">
        <v>0.0</v>
      </c>
      <c r="V1380" s="8">
        <v>0.0</v>
      </c>
      <c r="W1380" s="17" t="str">
        <f t="shared" si="147"/>
        <v>Данные не заполены</v>
      </c>
      <c r="X1380" s="14" t="str">
        <f t="shared" si="144"/>
        <v>Данные не заполены</v>
      </c>
      <c r="Y1380" s="15">
        <f t="shared" si="145"/>
        <v>0</v>
      </c>
    </row>
    <row r="1381" hidden="1">
      <c r="A1381" s="7">
        <v>44107.30965891204</v>
      </c>
      <c r="B1381" s="8" t="s">
        <v>76</v>
      </c>
      <c r="C1381" s="8">
        <v>20693.0</v>
      </c>
      <c r="D1381" s="8" t="s">
        <v>27</v>
      </c>
      <c r="E1381" s="8" t="s">
        <v>88</v>
      </c>
      <c r="G1381" s="8">
        <v>3579.0</v>
      </c>
      <c r="H1381" s="8" t="s">
        <v>29</v>
      </c>
      <c r="I1381" s="8" t="s">
        <v>42</v>
      </c>
      <c r="L1381" s="8" t="s">
        <v>37</v>
      </c>
      <c r="M1381" s="8" t="s">
        <v>34</v>
      </c>
      <c r="N1381" s="8"/>
      <c r="O1381" s="8"/>
      <c r="P1381" s="9">
        <v>44106.0</v>
      </c>
      <c r="Q1381" s="10">
        <v>0.33333333333575865</v>
      </c>
      <c r="R1381" s="13" t="str">
        <f t="shared" si="1"/>
        <v>Сборка на линии Sec</v>
      </c>
      <c r="S1381" s="16" t="str">
        <f>iferror(VLOOKUP(C1381,'ФИО'!A:B,2,0),"учётный код не найден")</f>
        <v>Аникина Раиса Владимировна</v>
      </c>
      <c r="T1381" s="13" t="str">
        <f t="shared" si="2"/>
        <v>915-00070.A - Модуль телематики ТМ1 v3 (Сознательные машины)</v>
      </c>
      <c r="U1381" s="8">
        <v>0.0</v>
      </c>
      <c r="V1381" s="8">
        <v>0.0</v>
      </c>
      <c r="W1381" s="21" t="str">
        <f t="shared" si="147"/>
        <v>Данные не заполены</v>
      </c>
      <c r="X1381" s="15" t="str">
        <f t="shared" si="144"/>
        <v>Данные не заполены</v>
      </c>
      <c r="Y1381" s="15">
        <f t="shared" si="145"/>
        <v>0</v>
      </c>
    </row>
    <row r="1382" hidden="1">
      <c r="A1382" s="7">
        <v>44107.32463199074</v>
      </c>
      <c r="B1382" s="8" t="s">
        <v>76</v>
      </c>
      <c r="C1382" s="8">
        <v>21852.0</v>
      </c>
      <c r="D1382" s="8" t="s">
        <v>27</v>
      </c>
      <c r="E1382" s="8" t="s">
        <v>88</v>
      </c>
      <c r="G1382" s="8">
        <v>3579.0</v>
      </c>
      <c r="H1382" s="8" t="s">
        <v>29</v>
      </c>
      <c r="I1382" s="8" t="s">
        <v>42</v>
      </c>
      <c r="L1382" s="8" t="s">
        <v>37</v>
      </c>
      <c r="M1382" s="8" t="s">
        <v>34</v>
      </c>
      <c r="N1382" s="8"/>
      <c r="O1382" s="8"/>
      <c r="P1382" s="9">
        <v>44106.0</v>
      </c>
      <c r="Q1382" s="10">
        <v>0.38888888889050577</v>
      </c>
      <c r="R1382" s="13" t="str">
        <f t="shared" si="1"/>
        <v>Сборка на линии Sec</v>
      </c>
      <c r="S1382" s="16" t="str">
        <f>iferror(VLOOKUP(C1382,'ФИО'!A:B,2,0),"учётный код не найден")</f>
        <v>Пономарев Юрий Андреевич</v>
      </c>
      <c r="T1382" s="13" t="str">
        <f t="shared" si="2"/>
        <v>915-00070.A - Модуль телематики ТМ1 v3 (Сознательные машины)</v>
      </c>
      <c r="U1382" s="8">
        <v>0.0</v>
      </c>
      <c r="V1382" s="8">
        <v>0.0</v>
      </c>
      <c r="W1382" s="21" t="str">
        <f t="shared" si="147"/>
        <v>Данные не заполены</v>
      </c>
      <c r="X1382" s="15" t="str">
        <f t="shared" si="144"/>
        <v>Данные не заполены</v>
      </c>
      <c r="Y1382" s="15">
        <f t="shared" si="145"/>
        <v>0</v>
      </c>
    </row>
    <row r="1383" hidden="1">
      <c r="A1383" s="7">
        <v>44110.31480746528</v>
      </c>
      <c r="B1383" s="8" t="s">
        <v>94</v>
      </c>
      <c r="C1383" s="8">
        <v>22131.0</v>
      </c>
      <c r="D1383" s="8" t="s">
        <v>27</v>
      </c>
      <c r="E1383" s="8" t="s">
        <v>88</v>
      </c>
      <c r="G1383" s="8">
        <v>3726.0</v>
      </c>
      <c r="H1383" s="8" t="s">
        <v>45</v>
      </c>
      <c r="K1383" s="8" t="s">
        <v>58</v>
      </c>
      <c r="L1383" s="8" t="s">
        <v>37</v>
      </c>
      <c r="P1383" s="9">
        <v>44109.0</v>
      </c>
      <c r="Q1383" s="10">
        <v>0.10416666666666667</v>
      </c>
      <c r="R1383" s="11" t="str">
        <f t="shared" si="1"/>
        <v>Сборка на линии Sec</v>
      </c>
      <c r="S1383" s="16" t="str">
        <f>iferror(VLOOKUP(C1383,'ФИО'!A:B,2,0),"учётный код не найден")</f>
        <v>Стосик Степан Владимирович</v>
      </c>
      <c r="T1383" s="13" t="str">
        <f t="shared" si="2"/>
        <v>ПУ метки i95</v>
      </c>
      <c r="U1383" s="8">
        <v>0.0</v>
      </c>
      <c r="V1383" s="8">
        <v>0.0</v>
      </c>
      <c r="W1383" s="21" t="str">
        <f t="shared" si="147"/>
        <v>Данные не заполены</v>
      </c>
      <c r="X1383" s="15" t="str">
        <f t="shared" si="144"/>
        <v>Данные не заполены</v>
      </c>
      <c r="Y1383" s="15">
        <f t="shared" si="145"/>
        <v>0</v>
      </c>
    </row>
    <row r="1384" hidden="1">
      <c r="A1384" s="7">
        <v>44110.32871728009</v>
      </c>
      <c r="B1384" s="8" t="s">
        <v>94</v>
      </c>
      <c r="C1384" s="8">
        <v>21426.0</v>
      </c>
      <c r="D1384" s="8" t="s">
        <v>27</v>
      </c>
      <c r="E1384" s="8" t="s">
        <v>88</v>
      </c>
      <c r="G1384" s="8">
        <v>3726.0</v>
      </c>
      <c r="H1384" s="8" t="s">
        <v>45</v>
      </c>
      <c r="K1384" s="8" t="s">
        <v>58</v>
      </c>
      <c r="L1384" s="8" t="s">
        <v>37</v>
      </c>
      <c r="P1384" s="9">
        <v>44109.0</v>
      </c>
      <c r="Q1384" s="10">
        <v>0.125</v>
      </c>
      <c r="R1384" s="11" t="str">
        <f t="shared" si="1"/>
        <v>Сборка на линии Sec</v>
      </c>
      <c r="S1384" s="16" t="str">
        <f>iferror(VLOOKUP(C1384,'ФИО'!A:B,2,0),"учётный код не найден")</f>
        <v>Скибинский Антон Германович</v>
      </c>
      <c r="T1384" s="13" t="str">
        <f t="shared" si="2"/>
        <v>ПУ метки i95</v>
      </c>
      <c r="U1384" s="8">
        <v>0.0</v>
      </c>
      <c r="V1384" s="8">
        <v>0.0</v>
      </c>
      <c r="W1384" s="21" t="str">
        <f t="shared" si="147"/>
        <v>Данные не заполены</v>
      </c>
      <c r="X1384" s="15" t="str">
        <f t="shared" si="144"/>
        <v>Данные не заполены</v>
      </c>
      <c r="Y1384" s="15">
        <f t="shared" si="145"/>
        <v>0</v>
      </c>
    </row>
    <row r="1385" hidden="1">
      <c r="A1385" s="7">
        <v>44127.30686056713</v>
      </c>
      <c r="B1385" s="8" t="s">
        <v>94</v>
      </c>
      <c r="C1385" s="8">
        <v>22575.0</v>
      </c>
      <c r="D1385" s="8" t="s">
        <v>27</v>
      </c>
      <c r="E1385" s="8" t="s">
        <v>82</v>
      </c>
      <c r="G1385" s="8">
        <v>3804.0</v>
      </c>
      <c r="H1385" s="8" t="s">
        <v>45</v>
      </c>
      <c r="K1385" s="8" t="s">
        <v>52</v>
      </c>
      <c r="L1385" s="8" t="s">
        <v>31</v>
      </c>
      <c r="M1385" s="8" t="s">
        <v>34</v>
      </c>
      <c r="P1385" s="9">
        <v>44126.0</v>
      </c>
      <c r="Q1385" s="10">
        <v>0.020833333335758653</v>
      </c>
      <c r="R1385" s="11" t="str">
        <f t="shared" si="1"/>
        <v>Настройка установщиков</v>
      </c>
      <c r="S1385" s="16" t="str">
        <f>iferror(VLOOKUP(C1385,'ФИО'!A:B,2,0),"учётный код не найден")</f>
        <v>Куликов Виктор Алексеевич</v>
      </c>
      <c r="T1385" s="13" t="str">
        <f t="shared" si="2"/>
        <v>М17V2 (900-00018.D)_910-00023.H и ПУ 910-00012.I</v>
      </c>
      <c r="U1385" s="8">
        <v>1.0</v>
      </c>
      <c r="V1385" s="8">
        <v>0.0</v>
      </c>
      <c r="W1385" s="17" t="str">
        <f t="shared" si="147"/>
        <v>Данные не заполены</v>
      </c>
      <c r="X1385" s="14" t="str">
        <f t="shared" si="144"/>
        <v>Данные не заполены</v>
      </c>
      <c r="Y1385" s="15">
        <f t="shared" si="145"/>
        <v>0</v>
      </c>
    </row>
    <row r="1386" hidden="1">
      <c r="A1386" s="7">
        <v>44110.821767581016</v>
      </c>
      <c r="B1386" s="8" t="s">
        <v>89</v>
      </c>
      <c r="C1386" s="8">
        <v>21954.0</v>
      </c>
      <c r="D1386" s="8" t="s">
        <v>27</v>
      </c>
      <c r="E1386" s="8" t="s">
        <v>88</v>
      </c>
      <c r="G1386" s="8">
        <v>3726.0</v>
      </c>
      <c r="H1386" s="8" t="s">
        <v>45</v>
      </c>
      <c r="K1386" s="8" t="s">
        <v>296</v>
      </c>
      <c r="L1386" s="8" t="s">
        <v>37</v>
      </c>
      <c r="P1386" s="9">
        <v>44110.0</v>
      </c>
      <c r="Q1386" s="10">
        <v>0.25</v>
      </c>
      <c r="R1386" s="11" t="str">
        <f t="shared" si="1"/>
        <v>Сборка на линии Sec</v>
      </c>
      <c r="S1386" s="16" t="str">
        <f>iferror(VLOOKUP(C1386,'ФИО'!A:B,2,0),"учётный код не найден")</f>
        <v>Александров Александр Викторович</v>
      </c>
      <c r="T1386" s="13" t="str">
        <f t="shared" si="2"/>
        <v>ПУ модуля индикация i95</v>
      </c>
      <c r="U1386" s="8">
        <v>0.0</v>
      </c>
      <c r="V1386" s="8">
        <v>0.0</v>
      </c>
      <c r="W1386" s="21" t="str">
        <f t="shared" si="147"/>
        <v>Данные не заполены</v>
      </c>
      <c r="X1386" s="15" t="str">
        <f t="shared" si="144"/>
        <v>Данные не заполены</v>
      </c>
      <c r="Y1386" s="15">
        <f t="shared" si="145"/>
        <v>0</v>
      </c>
    </row>
    <row r="1387" hidden="1">
      <c r="A1387" s="7">
        <v>44130.828375972225</v>
      </c>
      <c r="B1387" s="8" t="s">
        <v>87</v>
      </c>
      <c r="C1387" s="8">
        <v>50000.0</v>
      </c>
      <c r="D1387" s="8" t="s">
        <v>27</v>
      </c>
      <c r="E1387" s="8" t="s">
        <v>67</v>
      </c>
      <c r="G1387" s="8">
        <v>3793.0</v>
      </c>
      <c r="H1387" s="8" t="s">
        <v>29</v>
      </c>
      <c r="I1387" s="8" t="s">
        <v>163</v>
      </c>
      <c r="L1387" s="8" t="s">
        <v>37</v>
      </c>
      <c r="N1387" s="8">
        <v>7.0</v>
      </c>
      <c r="O1387" s="8">
        <v>24.0</v>
      </c>
      <c r="P1387" s="9">
        <v>44130.0</v>
      </c>
      <c r="Q1387" s="10">
        <v>0.22569444444525288</v>
      </c>
      <c r="R1387" s="11" t="str">
        <f t="shared" si="1"/>
        <v>Сборка на линии Prim</v>
      </c>
      <c r="S1387" s="12" t="str">
        <f>iferror(VLOOKUP(C1387,'ФИО'!A:B,2,0),"учётный код не найден")</f>
        <v>SMT</v>
      </c>
      <c r="T1387" s="13" t="str">
        <f t="shared" si="2"/>
        <v>915-00068.A - uklsip(s)220_v3.01 (Гефест)</v>
      </c>
      <c r="U1387" s="8">
        <v>2737.0</v>
      </c>
      <c r="V1387" s="8">
        <v>0.0</v>
      </c>
      <c r="W1387" s="17">
        <f t="shared" si="147"/>
        <v>5377.68</v>
      </c>
      <c r="X1387" s="14">
        <f t="shared" si="144"/>
        <v>1.03357124</v>
      </c>
      <c r="Y1387" s="15">
        <f t="shared" si="145"/>
        <v>0</v>
      </c>
    </row>
    <row r="1388" hidden="1">
      <c r="A1388" s="7">
        <v>44110.81067542824</v>
      </c>
      <c r="B1388" s="8" t="s">
        <v>89</v>
      </c>
      <c r="C1388" s="8">
        <v>20693.0</v>
      </c>
      <c r="D1388" s="8" t="s">
        <v>27</v>
      </c>
      <c r="E1388" s="8" t="s">
        <v>88</v>
      </c>
      <c r="G1388" s="8">
        <v>3726.0</v>
      </c>
      <c r="H1388" s="8" t="s">
        <v>45</v>
      </c>
      <c r="K1388" s="8" t="s">
        <v>58</v>
      </c>
      <c r="L1388" s="8" t="s">
        <v>37</v>
      </c>
      <c r="P1388" s="9">
        <v>44110.0</v>
      </c>
      <c r="Q1388" s="10">
        <v>0.16666666666424135</v>
      </c>
      <c r="R1388" s="11" t="str">
        <f t="shared" si="1"/>
        <v>Сборка на линии Sec</v>
      </c>
      <c r="S1388" s="16" t="str">
        <f>iferror(VLOOKUP(C1388,'ФИО'!A:B,2,0),"учётный код не найден")</f>
        <v>Аникина Раиса Владимировна</v>
      </c>
      <c r="T1388" s="13" t="str">
        <f t="shared" si="2"/>
        <v>ПУ метки i95</v>
      </c>
      <c r="U1388" s="8">
        <v>0.0</v>
      </c>
      <c r="V1388" s="8">
        <v>0.0</v>
      </c>
      <c r="W1388" s="21" t="str">
        <f t="shared" si="147"/>
        <v>Данные не заполены</v>
      </c>
      <c r="X1388" s="15" t="str">
        <f t="shared" si="144"/>
        <v>Данные не заполены</v>
      </c>
      <c r="Y1388" s="15">
        <f t="shared" si="145"/>
        <v>0</v>
      </c>
    </row>
    <row r="1389" hidden="1">
      <c r="A1389" s="7">
        <v>44131.013068252316</v>
      </c>
      <c r="B1389" s="8" t="s">
        <v>76</v>
      </c>
      <c r="C1389" s="8">
        <v>50000.0</v>
      </c>
      <c r="D1389" s="8" t="s">
        <v>27</v>
      </c>
      <c r="E1389" s="8" t="s">
        <v>67</v>
      </c>
      <c r="G1389" s="8">
        <v>3793.0</v>
      </c>
      <c r="H1389" s="8" t="s">
        <v>29</v>
      </c>
      <c r="I1389" s="8" t="s">
        <v>163</v>
      </c>
      <c r="L1389" s="8" t="s">
        <v>37</v>
      </c>
      <c r="N1389" s="8">
        <v>7.0</v>
      </c>
      <c r="O1389" s="8">
        <v>24.0</v>
      </c>
      <c r="P1389" s="9">
        <v>44130.0</v>
      </c>
      <c r="Q1389" s="10">
        <v>0.12638888889341615</v>
      </c>
      <c r="R1389" s="11" t="str">
        <f t="shared" si="1"/>
        <v>Сборка на линии Prim</v>
      </c>
      <c r="S1389" s="12" t="str">
        <f>iferror(VLOOKUP(C1389,'ФИО'!A:B,2,0),"учётный код не найден")</f>
        <v>SMT</v>
      </c>
      <c r="T1389" s="13" t="str">
        <f t="shared" si="2"/>
        <v>915-00068.A - uklsip(s)220_v3.01 (Гефест)</v>
      </c>
      <c r="U1389" s="8">
        <v>2268.0</v>
      </c>
      <c r="V1389" s="8">
        <v>0.0</v>
      </c>
      <c r="W1389" s="17">
        <f t="shared" si="147"/>
        <v>5377.68</v>
      </c>
      <c r="X1389" s="14">
        <f t="shared" si="144"/>
        <v>1.529398437</v>
      </c>
      <c r="Y1389" s="15">
        <f t="shared" si="145"/>
        <v>0</v>
      </c>
    </row>
    <row r="1390" hidden="1">
      <c r="A1390" s="7">
        <v>44127.30754440972</v>
      </c>
      <c r="B1390" s="8" t="s">
        <v>94</v>
      </c>
      <c r="C1390" s="8">
        <v>22575.0</v>
      </c>
      <c r="D1390" s="8" t="s">
        <v>27</v>
      </c>
      <c r="E1390" s="8" t="s">
        <v>85</v>
      </c>
      <c r="G1390" s="8">
        <v>3804.0</v>
      </c>
      <c r="H1390" s="8" t="s">
        <v>45</v>
      </c>
      <c r="K1390" s="8" t="s">
        <v>52</v>
      </c>
      <c r="L1390" s="8" t="s">
        <v>31</v>
      </c>
      <c r="M1390" s="8" t="s">
        <v>34</v>
      </c>
      <c r="P1390" s="9">
        <v>44126.0</v>
      </c>
      <c r="Q1390" s="10">
        <v>0.010416666664241347</v>
      </c>
      <c r="R1390" s="11" t="str">
        <f t="shared" si="1"/>
        <v>Очистка трафаретного принтера</v>
      </c>
      <c r="S1390" s="16" t="str">
        <f>iferror(VLOOKUP(C1390,'ФИО'!A:B,2,0),"учётный код не найден")</f>
        <v>Куликов Виктор Алексеевич</v>
      </c>
      <c r="T1390" s="13" t="str">
        <f t="shared" si="2"/>
        <v>М17V2 (900-00018.D)_910-00023.H и ПУ 910-00012.I</v>
      </c>
      <c r="U1390" s="8">
        <v>0.0</v>
      </c>
      <c r="V1390" s="8">
        <v>0.0</v>
      </c>
      <c r="W1390" s="17" t="str">
        <f t="shared" si="147"/>
        <v>Данные не заполены</v>
      </c>
      <c r="X1390" s="14" t="str">
        <f t="shared" si="144"/>
        <v>Данные не заполены</v>
      </c>
      <c r="Y1390" s="15">
        <f t="shared" si="145"/>
        <v>0</v>
      </c>
    </row>
    <row r="1391" hidden="1">
      <c r="A1391" s="7">
        <v>44118.311564386575</v>
      </c>
      <c r="B1391" s="8" t="s">
        <v>94</v>
      </c>
      <c r="C1391" s="8">
        <v>22131.0</v>
      </c>
      <c r="D1391" s="8" t="s">
        <v>27</v>
      </c>
      <c r="E1391" s="8" t="s">
        <v>88</v>
      </c>
      <c r="G1391" s="8">
        <v>3622.0</v>
      </c>
      <c r="H1391" s="8" t="s">
        <v>29</v>
      </c>
      <c r="I1391" s="8" t="s">
        <v>90</v>
      </c>
      <c r="L1391" s="8" t="s">
        <v>37</v>
      </c>
      <c r="P1391" s="9">
        <v>44117.0</v>
      </c>
      <c r="Q1391" s="10">
        <v>0.16666666666666666</v>
      </c>
      <c r="R1391" s="11" t="str">
        <f t="shared" si="1"/>
        <v>Сборка на линии Sec</v>
      </c>
      <c r="S1391" s="16" t="str">
        <f>iferror(VLOOKUP(C1391,'ФИО'!A:B,2,0),"учётный код не найден")</f>
        <v>Стосик Степан Владимирович</v>
      </c>
      <c r="T1391" s="13" t="str">
        <f t="shared" si="2"/>
        <v>915-00124.A - Tioga Pass_v1.1 (Гагар.ин)</v>
      </c>
      <c r="U1391" s="8">
        <v>0.0</v>
      </c>
      <c r="V1391" s="8">
        <v>0.0</v>
      </c>
      <c r="W1391" s="17" t="str">
        <f t="shared" si="147"/>
        <v>Данные не заполены</v>
      </c>
      <c r="X1391" s="14" t="str">
        <f t="shared" si="144"/>
        <v>Данные не заполены</v>
      </c>
      <c r="Y1391" s="15">
        <f t="shared" si="145"/>
        <v>0</v>
      </c>
    </row>
    <row r="1392" hidden="1">
      <c r="A1392" s="7">
        <v>44118.32772606482</v>
      </c>
      <c r="B1392" s="8" t="s">
        <v>94</v>
      </c>
      <c r="C1392" s="8">
        <v>21426.0</v>
      </c>
      <c r="D1392" s="8" t="s">
        <v>27</v>
      </c>
      <c r="E1392" s="8" t="s">
        <v>88</v>
      </c>
      <c r="G1392" s="8">
        <v>3622.0</v>
      </c>
      <c r="H1392" s="8" t="s">
        <v>29</v>
      </c>
      <c r="I1392" s="8" t="s">
        <v>90</v>
      </c>
      <c r="L1392" s="8" t="s">
        <v>37</v>
      </c>
      <c r="P1392" s="9">
        <v>44117.0</v>
      </c>
      <c r="Q1392" s="10">
        <v>0.125</v>
      </c>
      <c r="R1392" s="11" t="str">
        <f t="shared" si="1"/>
        <v>Сборка на линии Sec</v>
      </c>
      <c r="S1392" s="16" t="str">
        <f>iferror(VLOOKUP(C1392,'ФИО'!A:B,2,0),"учётный код не найден")</f>
        <v>Скибинский Антон Германович</v>
      </c>
      <c r="T1392" s="13" t="str">
        <f t="shared" si="2"/>
        <v>915-00124.A - Tioga Pass_v1.1 (Гагар.ин)</v>
      </c>
      <c r="U1392" s="8">
        <v>0.0</v>
      </c>
      <c r="V1392" s="8">
        <v>0.0</v>
      </c>
      <c r="W1392" s="17" t="str">
        <f t="shared" si="147"/>
        <v>Данные не заполены</v>
      </c>
      <c r="X1392" s="14" t="str">
        <f t="shared" si="144"/>
        <v>Данные не заполены</v>
      </c>
      <c r="Y1392" s="15">
        <f t="shared" si="145"/>
        <v>0</v>
      </c>
    </row>
    <row r="1393" hidden="1">
      <c r="A1393" s="7">
        <v>44118.317159259255</v>
      </c>
      <c r="B1393" s="8" t="s">
        <v>94</v>
      </c>
      <c r="C1393" s="8">
        <v>20985.0</v>
      </c>
      <c r="D1393" s="8" t="s">
        <v>27</v>
      </c>
      <c r="E1393" s="8" t="s">
        <v>88</v>
      </c>
      <c r="G1393" s="8">
        <v>3622.0</v>
      </c>
      <c r="H1393" s="8" t="s">
        <v>29</v>
      </c>
      <c r="I1393" s="8" t="s">
        <v>90</v>
      </c>
      <c r="L1393" s="8" t="s">
        <v>37</v>
      </c>
      <c r="P1393" s="9">
        <v>44117.0</v>
      </c>
      <c r="Q1393" s="10">
        <v>0.03125</v>
      </c>
      <c r="R1393" s="11" t="str">
        <f t="shared" si="1"/>
        <v>Сборка на линии Sec</v>
      </c>
      <c r="S1393" s="16" t="str">
        <f>iferror(VLOOKUP(C1393,'ФИО'!A:B,2,0),"учётный код не найден")</f>
        <v>Никонорова Наталия Владимировна</v>
      </c>
      <c r="T1393" s="13" t="str">
        <f t="shared" si="2"/>
        <v>915-00124.A - Tioga Pass_v1.1 (Гагар.ин)</v>
      </c>
      <c r="U1393" s="8">
        <v>0.0</v>
      </c>
      <c r="V1393" s="8">
        <v>0.0</v>
      </c>
      <c r="W1393" s="17" t="str">
        <f t="shared" si="147"/>
        <v>Данные не заполены</v>
      </c>
      <c r="X1393" s="14" t="str">
        <f t="shared" si="144"/>
        <v>Данные не заполены</v>
      </c>
      <c r="Y1393" s="15">
        <f t="shared" si="145"/>
        <v>0</v>
      </c>
    </row>
    <row r="1394" hidden="1">
      <c r="A1394" s="7">
        <v>44127.3079034375</v>
      </c>
      <c r="B1394" s="8" t="s">
        <v>94</v>
      </c>
      <c r="C1394" s="8">
        <v>22575.0</v>
      </c>
      <c r="D1394" s="8" t="s">
        <v>27</v>
      </c>
      <c r="E1394" s="8" t="s">
        <v>111</v>
      </c>
      <c r="L1394" s="8" t="s">
        <v>31</v>
      </c>
      <c r="M1394" s="8" t="s">
        <v>34</v>
      </c>
      <c r="P1394" s="9">
        <v>44126.0</v>
      </c>
      <c r="Q1394" s="10">
        <v>0.0034722222189884633</v>
      </c>
      <c r="R1394" s="11" t="str">
        <f t="shared" si="1"/>
        <v>Уборка линии</v>
      </c>
      <c r="S1394" s="16" t="str">
        <f>iferror(VLOOKUP(C1394,'ФИО'!A:B,2,0),"учётный код не найден")</f>
        <v>Куликов Виктор Алексеевич</v>
      </c>
      <c r="T1394" s="13" t="str">
        <f t="shared" si="2"/>
        <v/>
      </c>
      <c r="W1394" s="17" t="str">
        <f t="shared" si="147"/>
        <v>Данные не заполены</v>
      </c>
      <c r="X1394" s="14" t="str">
        <f t="shared" si="144"/>
        <v>Данные не заполены</v>
      </c>
      <c r="Y1394" s="15">
        <f t="shared" si="145"/>
        <v>0</v>
      </c>
    </row>
    <row r="1395" hidden="1">
      <c r="A1395" s="7">
        <v>44119.31060361111</v>
      </c>
      <c r="B1395" s="8" t="s">
        <v>94</v>
      </c>
      <c r="C1395" s="8">
        <v>22131.0</v>
      </c>
      <c r="D1395" s="8" t="s">
        <v>27</v>
      </c>
      <c r="E1395" s="8" t="s">
        <v>88</v>
      </c>
      <c r="G1395" s="8">
        <v>3622.0</v>
      </c>
      <c r="H1395" s="8" t="s">
        <v>29</v>
      </c>
      <c r="I1395" s="8" t="s">
        <v>90</v>
      </c>
      <c r="L1395" s="8" t="s">
        <v>37</v>
      </c>
      <c r="P1395" s="9">
        <v>44118.0</v>
      </c>
      <c r="Q1395" s="10">
        <v>0.10416666666666667</v>
      </c>
      <c r="R1395" s="11" t="str">
        <f t="shared" si="1"/>
        <v>Сборка на линии Sec</v>
      </c>
      <c r="S1395" s="16" t="str">
        <f>iferror(VLOOKUP(C1395,'ФИО'!A:B,2,0),"учётный код не найден")</f>
        <v>Стосик Степан Владимирович</v>
      </c>
      <c r="T1395" s="13" t="str">
        <f t="shared" si="2"/>
        <v>915-00124.A - Tioga Pass_v1.1 (Гагар.ин)</v>
      </c>
      <c r="U1395" s="8">
        <v>0.0</v>
      </c>
      <c r="V1395" s="8">
        <v>0.0</v>
      </c>
      <c r="W1395" s="17" t="str">
        <f t="shared" si="147"/>
        <v>Данные не заполены</v>
      </c>
      <c r="X1395" s="14" t="str">
        <f t="shared" si="144"/>
        <v>Данные не заполены</v>
      </c>
      <c r="Y1395" s="15">
        <f t="shared" si="145"/>
        <v>0</v>
      </c>
    </row>
    <row r="1396" hidden="1">
      <c r="A1396" s="7">
        <v>44119.32347674768</v>
      </c>
      <c r="B1396" s="8" t="s">
        <v>94</v>
      </c>
      <c r="C1396" s="8">
        <v>21426.0</v>
      </c>
      <c r="D1396" s="8" t="s">
        <v>27</v>
      </c>
      <c r="E1396" s="8" t="s">
        <v>88</v>
      </c>
      <c r="G1396" s="8">
        <v>3622.0</v>
      </c>
      <c r="H1396" s="8" t="s">
        <v>29</v>
      </c>
      <c r="I1396" s="8" t="s">
        <v>90</v>
      </c>
      <c r="L1396" s="8" t="s">
        <v>37</v>
      </c>
      <c r="P1396" s="9">
        <v>44118.0</v>
      </c>
      <c r="Q1396" s="10">
        <v>0.16666666666424135</v>
      </c>
      <c r="R1396" s="11" t="str">
        <f t="shared" si="1"/>
        <v>Сборка на линии Sec</v>
      </c>
      <c r="S1396" s="16" t="str">
        <f>iferror(VLOOKUP(C1396,'ФИО'!A:B,2,0),"учётный код не найден")</f>
        <v>Скибинский Антон Германович</v>
      </c>
      <c r="T1396" s="13" t="str">
        <f t="shared" si="2"/>
        <v>915-00124.A - Tioga Pass_v1.1 (Гагар.ин)</v>
      </c>
      <c r="U1396" s="8">
        <v>0.0</v>
      </c>
      <c r="V1396" s="8">
        <v>0.0</v>
      </c>
      <c r="W1396" s="17" t="str">
        <f t="shared" si="147"/>
        <v>Данные не заполены</v>
      </c>
      <c r="X1396" s="14" t="str">
        <f t="shared" si="144"/>
        <v>Данные не заполены</v>
      </c>
      <c r="Y1396" s="15">
        <f t="shared" si="145"/>
        <v>0</v>
      </c>
    </row>
    <row r="1397" hidden="1">
      <c r="A1397" s="7">
        <v>44119.3090600463</v>
      </c>
      <c r="B1397" s="8" t="s">
        <v>94</v>
      </c>
      <c r="C1397" s="8">
        <v>20985.0</v>
      </c>
      <c r="D1397" s="8" t="s">
        <v>27</v>
      </c>
      <c r="E1397" s="8" t="s">
        <v>88</v>
      </c>
      <c r="G1397" s="8">
        <v>3622.0</v>
      </c>
      <c r="H1397" s="8" t="s">
        <v>29</v>
      </c>
      <c r="I1397" s="8" t="s">
        <v>90</v>
      </c>
      <c r="L1397" s="8" t="s">
        <v>37</v>
      </c>
      <c r="P1397" s="9">
        <v>44118.0</v>
      </c>
      <c r="Q1397" s="10">
        <v>0.125</v>
      </c>
      <c r="R1397" s="11" t="str">
        <f t="shared" si="1"/>
        <v>Сборка на линии Sec</v>
      </c>
      <c r="S1397" s="16" t="str">
        <f>iferror(VLOOKUP(C1397,'ФИО'!A:B,2,0),"учётный код не найден")</f>
        <v>Никонорова Наталия Владимировна</v>
      </c>
      <c r="T1397" s="13" t="str">
        <f t="shared" si="2"/>
        <v>915-00124.A - Tioga Pass_v1.1 (Гагар.ин)</v>
      </c>
      <c r="U1397" s="8">
        <v>0.0</v>
      </c>
      <c r="V1397" s="8">
        <v>0.0</v>
      </c>
      <c r="W1397" s="17" t="str">
        <f t="shared" si="147"/>
        <v>Данные не заполены</v>
      </c>
      <c r="X1397" s="14" t="str">
        <f t="shared" si="144"/>
        <v>Данные не заполены</v>
      </c>
      <c r="Y1397" s="15">
        <f t="shared" si="145"/>
        <v>0</v>
      </c>
    </row>
    <row r="1398" hidden="1">
      <c r="A1398" s="7">
        <v>44119.806567604166</v>
      </c>
      <c r="B1398" s="8" t="s">
        <v>89</v>
      </c>
      <c r="C1398" s="8">
        <v>20693.0</v>
      </c>
      <c r="D1398" s="8" t="s">
        <v>27</v>
      </c>
      <c r="E1398" s="8" t="s">
        <v>88</v>
      </c>
      <c r="G1398" s="8">
        <v>3622.0</v>
      </c>
      <c r="H1398" s="8" t="s">
        <v>29</v>
      </c>
      <c r="I1398" s="8" t="s">
        <v>90</v>
      </c>
      <c r="L1398" s="8" t="s">
        <v>37</v>
      </c>
      <c r="P1398" s="9">
        <v>44119.0</v>
      </c>
      <c r="Q1398" s="10">
        <v>0.14583333333575865</v>
      </c>
      <c r="R1398" s="11" t="str">
        <f t="shared" si="1"/>
        <v>Сборка на линии Sec</v>
      </c>
      <c r="S1398" s="16" t="str">
        <f>iferror(VLOOKUP(C1398,'ФИО'!A:B,2,0),"учётный код не найден")</f>
        <v>Аникина Раиса Владимировна</v>
      </c>
      <c r="T1398" s="13" t="str">
        <f t="shared" si="2"/>
        <v>915-00124.A - Tioga Pass_v1.1 (Гагар.ин)</v>
      </c>
      <c r="U1398" s="8">
        <v>0.0</v>
      </c>
      <c r="V1398" s="8">
        <v>0.0</v>
      </c>
      <c r="W1398" s="17" t="str">
        <f t="shared" si="147"/>
        <v>Данные не заполены</v>
      </c>
      <c r="X1398" s="14" t="str">
        <f t="shared" si="144"/>
        <v>Данные не заполены</v>
      </c>
      <c r="Y1398" s="15">
        <f t="shared" si="145"/>
        <v>0</v>
      </c>
    </row>
    <row r="1399" hidden="1">
      <c r="A1399" s="7">
        <v>44119.8270759838</v>
      </c>
      <c r="B1399" s="8" t="s">
        <v>89</v>
      </c>
      <c r="C1399" s="8">
        <v>22011.0</v>
      </c>
      <c r="D1399" s="8" t="s">
        <v>27</v>
      </c>
      <c r="E1399" s="8" t="s">
        <v>88</v>
      </c>
      <c r="G1399" s="8">
        <v>3622.0</v>
      </c>
      <c r="H1399" s="8" t="s">
        <v>29</v>
      </c>
      <c r="I1399" s="8" t="s">
        <v>90</v>
      </c>
      <c r="L1399" s="8" t="s">
        <v>37</v>
      </c>
      <c r="P1399" s="9">
        <v>44119.0</v>
      </c>
      <c r="Q1399" s="10">
        <v>0.14583333333575865</v>
      </c>
      <c r="R1399" s="11" t="str">
        <f t="shared" si="1"/>
        <v>Сборка на линии Sec</v>
      </c>
      <c r="S1399" s="16" t="str">
        <f>iferror(VLOOKUP(C1399,'ФИО'!A:B,2,0),"учётный код не найден")</f>
        <v>Сергеев Алексей Андреевич</v>
      </c>
      <c r="T1399" s="13" t="str">
        <f t="shared" si="2"/>
        <v>915-00124.A - Tioga Pass_v1.1 (Гагар.ин)</v>
      </c>
      <c r="U1399" s="8">
        <v>0.0</v>
      </c>
      <c r="V1399" s="8">
        <v>0.0</v>
      </c>
      <c r="W1399" s="17" t="str">
        <f t="shared" si="147"/>
        <v>Данные не заполены</v>
      </c>
      <c r="X1399" s="14" t="str">
        <f t="shared" si="144"/>
        <v>Данные не заполены</v>
      </c>
      <c r="Y1399" s="15">
        <f t="shared" si="145"/>
        <v>0</v>
      </c>
    </row>
    <row r="1400" hidden="1">
      <c r="A1400" s="7">
        <v>44127.308697650464</v>
      </c>
      <c r="B1400" s="8" t="s">
        <v>94</v>
      </c>
      <c r="C1400" s="8">
        <v>22575.0</v>
      </c>
      <c r="D1400" s="8" t="s">
        <v>27</v>
      </c>
      <c r="E1400" s="8" t="s">
        <v>88</v>
      </c>
      <c r="G1400" s="8">
        <v>3804.0</v>
      </c>
      <c r="H1400" s="8" t="s">
        <v>45</v>
      </c>
      <c r="K1400" s="8" t="s">
        <v>52</v>
      </c>
      <c r="L1400" s="8" t="s">
        <v>37</v>
      </c>
      <c r="P1400" s="9">
        <v>44126.0</v>
      </c>
      <c r="Q1400" s="10">
        <v>0.027777777781011537</v>
      </c>
      <c r="R1400" s="11" t="str">
        <f t="shared" si="1"/>
        <v>Сборка на линии Sec</v>
      </c>
      <c r="S1400" s="16" t="str">
        <f>iferror(VLOOKUP(C1400,'ФИО'!A:B,2,0),"учётный код не найден")</f>
        <v>Куликов Виктор Алексеевич</v>
      </c>
      <c r="T1400" s="13" t="str">
        <f t="shared" si="2"/>
        <v>М17V2 (900-00018.D)_910-00023.H и ПУ 910-00012.I</v>
      </c>
      <c r="U1400" s="8">
        <v>0.0</v>
      </c>
      <c r="V1400" s="8">
        <v>0.0</v>
      </c>
      <c r="W1400" s="17" t="str">
        <f t="shared" si="147"/>
        <v>Данные не заполены</v>
      </c>
      <c r="X1400" s="14" t="str">
        <f t="shared" si="144"/>
        <v>Данные не заполены</v>
      </c>
      <c r="Y1400" s="15">
        <f t="shared" si="145"/>
        <v>0</v>
      </c>
    </row>
    <row r="1401" hidden="1">
      <c r="A1401" s="7">
        <v>44131.327293599534</v>
      </c>
      <c r="B1401" s="8" t="s">
        <v>76</v>
      </c>
      <c r="C1401" s="8">
        <v>50000.0</v>
      </c>
      <c r="D1401" s="8" t="s">
        <v>27</v>
      </c>
      <c r="E1401" s="8" t="s">
        <v>88</v>
      </c>
      <c r="G1401" s="8">
        <v>3793.0</v>
      </c>
      <c r="H1401" s="8" t="s">
        <v>29</v>
      </c>
      <c r="I1401" s="8" t="s">
        <v>163</v>
      </c>
      <c r="L1401" s="8" t="s">
        <v>37</v>
      </c>
      <c r="N1401" s="8">
        <v>7.0</v>
      </c>
      <c r="O1401" s="8">
        <v>11.0</v>
      </c>
      <c r="P1401" s="9">
        <v>44130.0</v>
      </c>
      <c r="Q1401" s="10">
        <v>0.25347222221898846</v>
      </c>
      <c r="R1401" s="11" t="str">
        <f t="shared" si="1"/>
        <v>Сборка на линии Sec</v>
      </c>
      <c r="S1401" s="12" t="str">
        <f>iferror(VLOOKUP(C1401,'ФИО'!A:B,2,0),"учётный код не найден")</f>
        <v>SMT</v>
      </c>
      <c r="T1401" s="13" t="str">
        <f t="shared" si="2"/>
        <v>915-00068.A - uklsip(s)220_v3.01 (Гефест)</v>
      </c>
      <c r="U1401" s="8">
        <v>4004.0</v>
      </c>
      <c r="V1401" s="8">
        <v>0.0</v>
      </c>
      <c r="W1401" s="17">
        <f t="shared" si="147"/>
        <v>5377.68</v>
      </c>
      <c r="X1401" s="14">
        <f t="shared" si="144"/>
        <v>1.346325849</v>
      </c>
      <c r="Y1401" s="15">
        <f t="shared" si="145"/>
        <v>0</v>
      </c>
    </row>
    <row r="1402" hidden="1">
      <c r="A1402" s="7">
        <v>44122.80554497685</v>
      </c>
      <c r="B1402" s="8" t="s">
        <v>87</v>
      </c>
      <c r="C1402" s="8">
        <v>21426.0</v>
      </c>
      <c r="D1402" s="8" t="s">
        <v>27</v>
      </c>
      <c r="E1402" s="8" t="s">
        <v>88</v>
      </c>
      <c r="G1402" s="8">
        <v>3754.0</v>
      </c>
      <c r="H1402" s="8" t="s">
        <v>45</v>
      </c>
      <c r="K1402" s="8" t="s">
        <v>124</v>
      </c>
      <c r="L1402" s="8" t="s">
        <v>37</v>
      </c>
      <c r="P1402" s="9">
        <v>44122.0</v>
      </c>
      <c r="Q1402" s="10">
        <v>0.14583333333575865</v>
      </c>
      <c r="R1402" s="11" t="str">
        <f t="shared" si="1"/>
        <v>Сборка на линии Sec</v>
      </c>
      <c r="S1402" s="16" t="str">
        <f>iferror(VLOOKUP(C1402,'ФИО'!A:B,2,0),"учётный код не найден")</f>
        <v>Скибинский Антон Германович</v>
      </c>
      <c r="T1402" s="13" t="str">
        <f t="shared" si="2"/>
        <v>ПУ 910-00120.D - Печатный узел модуля 2CAN+LIN</v>
      </c>
      <c r="U1402" s="8">
        <v>0.0</v>
      </c>
      <c r="V1402" s="8">
        <v>0.0</v>
      </c>
      <c r="X1402" s="14" t="str">
        <f t="shared" si="144"/>
        <v>Данные не заполены</v>
      </c>
      <c r="Y1402" s="15">
        <f t="shared" si="145"/>
        <v>0</v>
      </c>
    </row>
    <row r="1403" hidden="1">
      <c r="A1403" s="7">
        <v>44122.83092571759</v>
      </c>
      <c r="B1403" s="8" t="s">
        <v>87</v>
      </c>
      <c r="C1403" s="8">
        <v>22087.0</v>
      </c>
      <c r="D1403" s="8" t="s">
        <v>27</v>
      </c>
      <c r="E1403" s="8" t="s">
        <v>88</v>
      </c>
      <c r="G1403" s="8">
        <v>3754.0</v>
      </c>
      <c r="H1403" s="8" t="s">
        <v>45</v>
      </c>
      <c r="K1403" s="8" t="s">
        <v>124</v>
      </c>
      <c r="L1403" s="8" t="s">
        <v>37</v>
      </c>
      <c r="P1403" s="9">
        <v>44122.0</v>
      </c>
      <c r="Q1403" s="10">
        <v>0.33333333333575865</v>
      </c>
      <c r="R1403" s="11" t="str">
        <f t="shared" si="1"/>
        <v>Сборка на линии Sec</v>
      </c>
      <c r="S1403" s="16" t="str">
        <f>iferror(VLOOKUP(C1403,'ФИО'!A:B,2,0),"учётный код не найден")</f>
        <v>Хохряков Илья Александрович</v>
      </c>
      <c r="T1403" s="13" t="str">
        <f t="shared" si="2"/>
        <v>ПУ 910-00120.D - Печатный узел модуля 2CAN+LIN</v>
      </c>
      <c r="U1403" s="8">
        <v>0.0</v>
      </c>
      <c r="V1403" s="8">
        <v>0.0</v>
      </c>
      <c r="X1403" s="14" t="str">
        <f t="shared" si="144"/>
        <v>Данные не заполены</v>
      </c>
      <c r="Y1403" s="15">
        <f t="shared" si="145"/>
        <v>0</v>
      </c>
    </row>
    <row r="1404" hidden="1">
      <c r="A1404" s="7">
        <v>44123.33520472222</v>
      </c>
      <c r="B1404" s="8" t="s">
        <v>76</v>
      </c>
      <c r="C1404" s="8">
        <v>22011.0</v>
      </c>
      <c r="D1404" s="8" t="s">
        <v>27</v>
      </c>
      <c r="E1404" s="8" t="s">
        <v>88</v>
      </c>
      <c r="G1404" s="8">
        <v>3754.0</v>
      </c>
      <c r="H1404" s="8" t="s">
        <v>45</v>
      </c>
      <c r="K1404" s="8" t="s">
        <v>124</v>
      </c>
      <c r="L1404" s="8" t="s">
        <v>37</v>
      </c>
      <c r="P1404" s="9">
        <v>44122.0</v>
      </c>
      <c r="Q1404" s="10">
        <v>0.45833333333575865</v>
      </c>
      <c r="R1404" s="11" t="str">
        <f t="shared" si="1"/>
        <v>Сборка на линии Sec</v>
      </c>
      <c r="S1404" s="16" t="str">
        <f>iferror(VLOOKUP(C1404,'ФИО'!A:B,2,0),"учётный код не найден")</f>
        <v>Сергеев Алексей Андреевич</v>
      </c>
      <c r="T1404" s="13" t="str">
        <f t="shared" si="2"/>
        <v>ПУ 910-00120.D - Печатный узел модуля 2CAN+LIN</v>
      </c>
      <c r="U1404" s="8">
        <v>0.0</v>
      </c>
      <c r="V1404" s="8">
        <v>0.0</v>
      </c>
      <c r="X1404" s="14" t="str">
        <f t="shared" si="144"/>
        <v>Данные не заполены</v>
      </c>
      <c r="Y1404" s="15">
        <f t="shared" si="145"/>
        <v>0</v>
      </c>
    </row>
    <row r="1405" hidden="1">
      <c r="A1405" s="7">
        <v>44130.815715358796</v>
      </c>
      <c r="B1405" s="8" t="s">
        <v>87</v>
      </c>
      <c r="C1405" s="8">
        <v>22575.0</v>
      </c>
      <c r="D1405" s="8" t="s">
        <v>27</v>
      </c>
      <c r="E1405" s="8" t="s">
        <v>68</v>
      </c>
      <c r="L1405" s="8" t="s">
        <v>31</v>
      </c>
      <c r="M1405" s="8" t="s">
        <v>34</v>
      </c>
      <c r="P1405" s="9">
        <v>44130.0</v>
      </c>
      <c r="Q1405" s="10">
        <v>0.027777777781011537</v>
      </c>
      <c r="R1405" s="11" t="str">
        <f t="shared" si="1"/>
        <v>Прохождение обучения</v>
      </c>
      <c r="S1405" s="12" t="str">
        <f>iferror(VLOOKUP(C1405,'ФИО'!A:B,2,0),"учётный код не найден")</f>
        <v>Куликов Виктор Алексеевич</v>
      </c>
      <c r="T1405" s="13" t="str">
        <f t="shared" si="2"/>
        <v/>
      </c>
      <c r="W1405" s="17" t="str">
        <f t="shared" ref="W1405:W1409" si="148">IFERROR((((38412/(ifs(O1405&lt;35,35,O1405&gt;34,O1405)/N1405)*0.7))),"Данные не заполены")</f>
        <v>Данные не заполены</v>
      </c>
      <c r="X1405" s="14" t="str">
        <f t="shared" si="144"/>
        <v>Данные не заполены</v>
      </c>
      <c r="Y1405" s="15">
        <f t="shared" si="145"/>
        <v>0</v>
      </c>
    </row>
    <row r="1406" hidden="1">
      <c r="A1406" s="7">
        <v>44127.314260046296</v>
      </c>
      <c r="B1406" s="8" t="s">
        <v>94</v>
      </c>
      <c r="C1406" s="8">
        <v>20985.0</v>
      </c>
      <c r="D1406" s="8" t="s">
        <v>27</v>
      </c>
      <c r="E1406" s="8" t="s">
        <v>88</v>
      </c>
      <c r="G1406" s="8">
        <v>3804.0</v>
      </c>
      <c r="H1406" s="8" t="s">
        <v>45</v>
      </c>
      <c r="K1406" s="8" t="s">
        <v>52</v>
      </c>
      <c r="L1406" s="8" t="s">
        <v>37</v>
      </c>
      <c r="P1406" s="9">
        <v>44126.0</v>
      </c>
      <c r="Q1406" s="10">
        <v>0.04166666666424135</v>
      </c>
      <c r="R1406" s="11" t="str">
        <f t="shared" si="1"/>
        <v>Сборка на линии Sec</v>
      </c>
      <c r="S1406" s="16" t="str">
        <f>iferror(VLOOKUP(C1406,'ФИО'!A:B,2,0),"учётный код не найден")</f>
        <v>Никонорова Наталия Владимировна</v>
      </c>
      <c r="T1406" s="13" t="str">
        <f t="shared" si="2"/>
        <v>М17V2 (900-00018.D)_910-00023.H и ПУ 910-00012.I</v>
      </c>
      <c r="U1406" s="8">
        <v>0.0</v>
      </c>
      <c r="V1406" s="8">
        <v>0.0</v>
      </c>
      <c r="W1406" s="17" t="str">
        <f t="shared" si="148"/>
        <v>Данные не заполены</v>
      </c>
      <c r="X1406" s="14" t="str">
        <f t="shared" si="144"/>
        <v>Данные не заполены</v>
      </c>
      <c r="Y1406" s="15">
        <f t="shared" si="145"/>
        <v>0</v>
      </c>
    </row>
    <row r="1407" hidden="1">
      <c r="A1407" s="7">
        <v>44127.31554633102</v>
      </c>
      <c r="B1407" s="8" t="s">
        <v>94</v>
      </c>
      <c r="C1407" s="8">
        <v>21928.0</v>
      </c>
      <c r="D1407" s="8" t="s">
        <v>27</v>
      </c>
      <c r="E1407" s="8" t="s">
        <v>88</v>
      </c>
      <c r="G1407" s="8">
        <v>3804.0</v>
      </c>
      <c r="H1407" s="8" t="s">
        <v>45</v>
      </c>
      <c r="K1407" s="8" t="s">
        <v>52</v>
      </c>
      <c r="L1407" s="8" t="s">
        <v>37</v>
      </c>
      <c r="P1407" s="9">
        <v>44126.0</v>
      </c>
      <c r="Q1407" s="10">
        <v>0.04166666666424135</v>
      </c>
      <c r="R1407" s="11" t="str">
        <f t="shared" si="1"/>
        <v>Сборка на линии Sec</v>
      </c>
      <c r="S1407" s="16" t="str">
        <f>iferror(VLOOKUP(C1407,'ФИО'!A:B,2,0),"учётный код не найден")</f>
        <v>Савченко Виктория Андреевна</v>
      </c>
      <c r="T1407" s="13" t="str">
        <f t="shared" si="2"/>
        <v>М17V2 (900-00018.D)_910-00023.H и ПУ 910-00012.I</v>
      </c>
      <c r="U1407" s="8">
        <v>0.0</v>
      </c>
      <c r="V1407" s="8">
        <v>0.0</v>
      </c>
      <c r="W1407" s="17" t="str">
        <f t="shared" si="148"/>
        <v>Данные не заполены</v>
      </c>
      <c r="X1407" s="14" t="str">
        <f t="shared" si="144"/>
        <v>Данные не заполены</v>
      </c>
      <c r="Y1407" s="15">
        <f t="shared" si="145"/>
        <v>0</v>
      </c>
    </row>
    <row r="1408" hidden="1">
      <c r="A1408" s="7">
        <v>44127.30022630787</v>
      </c>
      <c r="B1408" s="8" t="s">
        <v>94</v>
      </c>
      <c r="C1408" s="8">
        <v>21426.0</v>
      </c>
      <c r="D1408" s="8" t="s">
        <v>27</v>
      </c>
      <c r="E1408" s="8" t="s">
        <v>88</v>
      </c>
      <c r="G1408" s="8">
        <v>3804.0</v>
      </c>
      <c r="H1408" s="8" t="s">
        <v>45</v>
      </c>
      <c r="K1408" s="8" t="s">
        <v>52</v>
      </c>
      <c r="L1408" s="8" t="s">
        <v>37</v>
      </c>
      <c r="P1408" s="9">
        <v>44126.0</v>
      </c>
      <c r="Q1408" s="10">
        <v>0.020833333335758653</v>
      </c>
      <c r="R1408" s="11" t="str">
        <f t="shared" si="1"/>
        <v>Сборка на линии Sec</v>
      </c>
      <c r="S1408" s="16" t="str">
        <f>iferror(VLOOKUP(C1408,'ФИО'!A:B,2,0),"учётный код не найден")</f>
        <v>Скибинский Антон Германович</v>
      </c>
      <c r="T1408" s="13" t="str">
        <f t="shared" si="2"/>
        <v>М17V2 (900-00018.D)_910-00023.H и ПУ 910-00012.I</v>
      </c>
      <c r="U1408" s="8">
        <v>10.0</v>
      </c>
      <c r="V1408" s="8">
        <v>0.0</v>
      </c>
      <c r="W1408" s="17" t="str">
        <f t="shared" si="148"/>
        <v>Данные не заполены</v>
      </c>
      <c r="X1408" s="14" t="str">
        <f t="shared" si="144"/>
        <v>Данные не заполены</v>
      </c>
      <c r="Y1408" s="15">
        <f t="shared" si="145"/>
        <v>0</v>
      </c>
    </row>
    <row r="1409" hidden="1">
      <c r="A1409" s="7">
        <v>44131.33704832176</v>
      </c>
      <c r="B1409" s="8" t="s">
        <v>76</v>
      </c>
      <c r="C1409" s="8">
        <v>60000.0</v>
      </c>
      <c r="D1409" s="8" t="s">
        <v>69</v>
      </c>
      <c r="F1409" s="8" t="s">
        <v>72</v>
      </c>
      <c r="G1409" s="8">
        <v>3253.0</v>
      </c>
      <c r="H1409" s="8" t="s">
        <v>29</v>
      </c>
      <c r="I1409" s="8" t="s">
        <v>95</v>
      </c>
      <c r="L1409" s="8" t="s">
        <v>37</v>
      </c>
      <c r="N1409" s="8">
        <v>1.0</v>
      </c>
      <c r="O1409" s="8">
        <v>93.0</v>
      </c>
      <c r="P1409" s="9">
        <v>44130.0</v>
      </c>
      <c r="Q1409" s="10">
        <v>0.03125</v>
      </c>
      <c r="R1409" s="11" t="str">
        <f t="shared" si="1"/>
        <v>Пайка компонентов PRI</v>
      </c>
      <c r="S1409" s="12" t="str">
        <f>iferror(VLOOKUP(C1409,'ФИО'!A:B,2,0),"учётный код не найден")</f>
        <v>THT</v>
      </c>
      <c r="T1409" s="13" t="str">
        <f t="shared" si="2"/>
        <v>915-00095.A - ПКД-8В-1 АСЛБ.467249.108 (Квант)</v>
      </c>
      <c r="U1409" s="8">
        <v>31.0</v>
      </c>
      <c r="V1409" s="8">
        <v>0.0</v>
      </c>
      <c r="W1409" s="17">
        <f t="shared" si="148"/>
        <v>289.1225806</v>
      </c>
      <c r="X1409" s="14">
        <f t="shared" si="144"/>
        <v>1.572574047</v>
      </c>
      <c r="Y1409" s="15">
        <f t="shared" si="145"/>
        <v>0</v>
      </c>
    </row>
    <row r="1410" hidden="1">
      <c r="A1410" s="7">
        <v>44132.318569814815</v>
      </c>
      <c r="B1410" s="8" t="s">
        <v>38</v>
      </c>
      <c r="C1410" s="8">
        <v>21475.0</v>
      </c>
      <c r="D1410" s="8" t="s">
        <v>69</v>
      </c>
      <c r="F1410" s="8" t="s">
        <v>290</v>
      </c>
      <c r="G1410" s="8">
        <v>3253.0</v>
      </c>
      <c r="H1410" s="8" t="s">
        <v>29</v>
      </c>
      <c r="I1410" s="8" t="s">
        <v>95</v>
      </c>
      <c r="L1410" s="8" t="s">
        <v>37</v>
      </c>
      <c r="P1410" s="9">
        <v>44131.0</v>
      </c>
      <c r="Q1410" s="10">
        <v>0.08333333333333333</v>
      </c>
      <c r="R1410" s="11" t="str">
        <f t="shared" si="1"/>
        <v>Установка компонентов  на платы (ручная) PRI</v>
      </c>
      <c r="S1410" s="12" t="str">
        <f>iferror(VLOOKUP(C1410,'ФИО'!A:B,2,0),"учётный код не найден")</f>
        <v>Байрамашвили Альберт Зурабович</v>
      </c>
      <c r="T1410" s="13" t="str">
        <f t="shared" si="2"/>
        <v>915-00095.A - ПКД-8В-1 АСЛБ.467249.108 (Квант)</v>
      </c>
      <c r="U1410" s="8">
        <v>45.0</v>
      </c>
      <c r="V1410" s="8">
        <v>0.0</v>
      </c>
      <c r="X1410" s="14" t="str">
        <f t="shared" si="144"/>
        <v>Данные не заполены</v>
      </c>
      <c r="Y1410" s="15">
        <f t="shared" si="145"/>
        <v>0</v>
      </c>
    </row>
    <row r="1411" hidden="1">
      <c r="A1411" s="7">
        <v>44125.31567974537</v>
      </c>
      <c r="B1411" s="8" t="s">
        <v>38</v>
      </c>
      <c r="C1411" s="8">
        <v>21522.0</v>
      </c>
      <c r="D1411" s="8" t="s">
        <v>27</v>
      </c>
      <c r="E1411" s="8" t="s">
        <v>67</v>
      </c>
      <c r="G1411" s="8">
        <v>3804.0</v>
      </c>
      <c r="H1411" s="8" t="s">
        <v>45</v>
      </c>
      <c r="K1411" s="8" t="s">
        <v>52</v>
      </c>
      <c r="L1411" s="8" t="s">
        <v>37</v>
      </c>
      <c r="P1411" s="9">
        <v>44124.0</v>
      </c>
      <c r="Q1411" s="10">
        <v>0.04166666666424135</v>
      </c>
      <c r="R1411" s="11" t="str">
        <f t="shared" si="1"/>
        <v>Сборка на линии Prim</v>
      </c>
      <c r="S1411" s="16" t="str">
        <f>iferror(VLOOKUP(C1411,'ФИО'!A:B,2,0),"учётный код не найден")</f>
        <v>Исаев Никита Дмитриевич</v>
      </c>
      <c r="T1411" s="13" t="str">
        <f t="shared" si="2"/>
        <v>М17V2 (900-00018.D)_910-00023.H и ПУ 910-00012.I</v>
      </c>
      <c r="U1411" s="8">
        <v>0.0</v>
      </c>
      <c r="V1411" s="8">
        <v>0.0</v>
      </c>
      <c r="X1411" s="14" t="str">
        <f t="shared" si="144"/>
        <v>Данные не заполены</v>
      </c>
      <c r="Y1411" s="15">
        <f t="shared" si="145"/>
        <v>0</v>
      </c>
    </row>
    <row r="1412" hidden="1">
      <c r="A1412" s="7">
        <v>44121.33331391204</v>
      </c>
      <c r="B1412" s="8" t="s">
        <v>126</v>
      </c>
      <c r="C1412" s="8">
        <v>21852.0</v>
      </c>
      <c r="D1412" s="8" t="s">
        <v>27</v>
      </c>
      <c r="E1412" s="8" t="s">
        <v>67</v>
      </c>
      <c r="G1412" s="8">
        <v>3754.0</v>
      </c>
      <c r="H1412" s="8" t="s">
        <v>45</v>
      </c>
      <c r="K1412" s="8" t="s">
        <v>119</v>
      </c>
      <c r="L1412" s="8" t="s">
        <v>37</v>
      </c>
      <c r="P1412" s="9">
        <v>44120.0</v>
      </c>
      <c r="Q1412" s="10">
        <v>0.125</v>
      </c>
      <c r="R1412" s="11" t="str">
        <f t="shared" si="1"/>
        <v>Сборка на линии Prim</v>
      </c>
      <c r="S1412" s="16" t="str">
        <f>iferror(VLOOKUP(C1412,'ФИО'!A:B,2,0),"учётный код не найден")</f>
        <v>Пономарев Юрий Андреевич</v>
      </c>
      <c r="T1412" s="13" t="str">
        <f t="shared" si="2"/>
        <v>ПУ 910-00134.B (A96 модуль 2CAN+2LIN)</v>
      </c>
      <c r="U1412" s="8">
        <v>0.0</v>
      </c>
      <c r="V1412" s="8">
        <v>0.0</v>
      </c>
      <c r="W1412" s="17" t="str">
        <f t="shared" ref="W1412:W1414" si="149">IFERROR((((38412/(ifs(O1412&lt;35,35,O1412&gt;34,O1412)/N1412)*0.7))),"Данные не заполены")</f>
        <v>Данные не заполены</v>
      </c>
      <c r="X1412" s="14" t="str">
        <f t="shared" si="144"/>
        <v>Данные не заполены</v>
      </c>
      <c r="Y1412" s="15">
        <f t="shared" si="145"/>
        <v>0</v>
      </c>
    </row>
    <row r="1413" hidden="1">
      <c r="A1413" s="7">
        <v>44131.3182403588</v>
      </c>
      <c r="B1413" s="8" t="s">
        <v>76</v>
      </c>
      <c r="C1413" s="8">
        <v>22011.0</v>
      </c>
      <c r="D1413" s="8" t="s">
        <v>27</v>
      </c>
      <c r="E1413" s="8" t="s">
        <v>88</v>
      </c>
      <c r="G1413" s="8">
        <v>3793.0</v>
      </c>
      <c r="H1413" s="8" t="s">
        <v>29</v>
      </c>
      <c r="I1413" s="8" t="s">
        <v>163</v>
      </c>
      <c r="L1413" s="8" t="s">
        <v>37</v>
      </c>
      <c r="P1413" s="9">
        <v>44130.0</v>
      </c>
      <c r="Q1413" s="10">
        <v>0.29166666666424135</v>
      </c>
      <c r="R1413" s="11" t="str">
        <f t="shared" si="1"/>
        <v>Сборка на линии Sec</v>
      </c>
      <c r="S1413" s="12" t="str">
        <f>iferror(VLOOKUP(C1413,'ФИО'!A:B,2,0),"учётный код не найден")</f>
        <v>Сергеев Алексей Андреевич</v>
      </c>
      <c r="T1413" s="13" t="str">
        <f t="shared" si="2"/>
        <v>915-00068.A - uklsip(s)220_v3.01 (Гефест)</v>
      </c>
      <c r="U1413" s="8">
        <v>0.0</v>
      </c>
      <c r="V1413" s="8">
        <v>0.0</v>
      </c>
      <c r="W1413" s="17" t="str">
        <f t="shared" si="149"/>
        <v>Данные не заполены</v>
      </c>
      <c r="X1413" s="14" t="str">
        <f t="shared" si="144"/>
        <v>Данные не заполены</v>
      </c>
      <c r="Y1413" s="15">
        <f t="shared" si="145"/>
        <v>0</v>
      </c>
    </row>
    <row r="1414" hidden="1">
      <c r="A1414" s="7">
        <v>44131.32282987269</v>
      </c>
      <c r="B1414" s="8" t="s">
        <v>76</v>
      </c>
      <c r="C1414" s="8">
        <v>21954.0</v>
      </c>
      <c r="D1414" s="8" t="s">
        <v>27</v>
      </c>
      <c r="E1414" s="8" t="s">
        <v>88</v>
      </c>
      <c r="G1414" s="8">
        <v>3793.0</v>
      </c>
      <c r="H1414" s="8" t="s">
        <v>29</v>
      </c>
      <c r="I1414" s="8" t="s">
        <v>163</v>
      </c>
      <c r="L1414" s="8" t="s">
        <v>37</v>
      </c>
      <c r="P1414" s="9">
        <v>44130.0</v>
      </c>
      <c r="Q1414" s="10">
        <v>0.22222222221898846</v>
      </c>
      <c r="R1414" s="11" t="str">
        <f t="shared" si="1"/>
        <v>Сборка на линии Sec</v>
      </c>
      <c r="S1414" s="12" t="str">
        <f>iferror(VLOOKUP(C1414,'ФИО'!A:B,2,0),"учётный код не найден")</f>
        <v>Александров Александр Викторович</v>
      </c>
      <c r="T1414" s="13" t="str">
        <f t="shared" si="2"/>
        <v>915-00068.A - uklsip(s)220_v3.01 (Гефест)</v>
      </c>
      <c r="U1414" s="8">
        <v>0.0</v>
      </c>
      <c r="V1414" s="8">
        <v>0.0</v>
      </c>
      <c r="W1414" s="17" t="str">
        <f t="shared" si="149"/>
        <v>Данные не заполены</v>
      </c>
      <c r="X1414" s="14" t="str">
        <f t="shared" si="144"/>
        <v>Данные не заполены</v>
      </c>
      <c r="Y1414" s="15">
        <f t="shared" si="145"/>
        <v>0</v>
      </c>
    </row>
    <row r="1415" hidden="1">
      <c r="A1415" s="7">
        <v>44130.817215104165</v>
      </c>
      <c r="B1415" s="8" t="s">
        <v>87</v>
      </c>
      <c r="C1415" s="8">
        <v>22575.0</v>
      </c>
      <c r="D1415" s="8" t="s">
        <v>27</v>
      </c>
      <c r="E1415" s="8" t="s">
        <v>39</v>
      </c>
      <c r="G1415" s="8">
        <v>3793.0</v>
      </c>
      <c r="H1415" s="8" t="s">
        <v>29</v>
      </c>
      <c r="I1415" s="8" t="s">
        <v>163</v>
      </c>
      <c r="L1415" s="8" t="s">
        <v>31</v>
      </c>
      <c r="M1415" s="8" t="s">
        <v>34</v>
      </c>
      <c r="P1415" s="9">
        <v>44130.0</v>
      </c>
      <c r="Q1415" s="10">
        <v>0.013888888890505768</v>
      </c>
      <c r="R1415" s="11" t="str">
        <f t="shared" si="1"/>
        <v>Зарядка питателей Prim</v>
      </c>
      <c r="S1415" s="12" t="str">
        <f>iferror(VLOOKUP(C1415,'ФИО'!A:B,2,0),"учётный код не найден")</f>
        <v>Куликов Виктор Алексеевич</v>
      </c>
      <c r="T1415" s="13" t="str">
        <f t="shared" si="2"/>
        <v>915-00068.A - uklsip(s)220_v3.01 (Гефест)</v>
      </c>
      <c r="U1415" s="8">
        <v>20.0</v>
      </c>
      <c r="V1415" s="8">
        <v>0.0</v>
      </c>
      <c r="W1415" s="17">
        <v>660.0</v>
      </c>
      <c r="X1415" s="14">
        <f t="shared" si="144"/>
        <v>0.9999999999</v>
      </c>
      <c r="Y1415" s="15">
        <f t="shared" si="145"/>
        <v>0</v>
      </c>
    </row>
    <row r="1416" hidden="1">
      <c r="A1416" s="7">
        <v>44131.81505215278</v>
      </c>
      <c r="B1416" s="8" t="s">
        <v>87</v>
      </c>
      <c r="C1416" s="8">
        <v>21426.0</v>
      </c>
      <c r="D1416" s="8" t="s">
        <v>27</v>
      </c>
      <c r="E1416" s="8" t="s">
        <v>88</v>
      </c>
      <c r="G1416" s="8">
        <v>3793.0</v>
      </c>
      <c r="H1416" s="8" t="s">
        <v>29</v>
      </c>
      <c r="I1416" s="8" t="s">
        <v>163</v>
      </c>
      <c r="L1416" s="8" t="s">
        <v>37</v>
      </c>
      <c r="P1416" s="9">
        <v>44131.0</v>
      </c>
      <c r="Q1416" s="10">
        <v>0.08333333333575865</v>
      </c>
      <c r="R1416" s="11" t="str">
        <f t="shared" si="1"/>
        <v>Сборка на линии Sec</v>
      </c>
      <c r="S1416" s="12" t="str">
        <f>iferror(VLOOKUP(C1416,'ФИО'!A:B,2,0),"учётный код не найден")</f>
        <v>Скибинский Антон Германович</v>
      </c>
      <c r="T1416" s="13" t="str">
        <f t="shared" si="2"/>
        <v>915-00068.A - uklsip(s)220_v3.01 (Гефест)</v>
      </c>
      <c r="U1416" s="8">
        <v>0.0</v>
      </c>
      <c r="V1416" s="8">
        <v>0.0</v>
      </c>
      <c r="W1416" s="17" t="str">
        <f t="shared" ref="W1416:W1423" si="150">IFERROR((((38412/(ifs(O1416&lt;35,35,O1416&gt;34,O1416)/N1416)*0.7))),"Данные не заполены")</f>
        <v>Данные не заполены</v>
      </c>
      <c r="X1416" s="14" t="str">
        <f t="shared" si="144"/>
        <v>Данные не заполены</v>
      </c>
      <c r="Y1416" s="15">
        <f t="shared" si="145"/>
        <v>0</v>
      </c>
    </row>
    <row r="1417" hidden="1">
      <c r="A1417" s="7">
        <v>44131.825205625</v>
      </c>
      <c r="B1417" s="8" t="s">
        <v>87</v>
      </c>
      <c r="C1417" s="8">
        <v>21928.0</v>
      </c>
      <c r="D1417" s="8" t="s">
        <v>27</v>
      </c>
      <c r="E1417" s="8" t="s">
        <v>88</v>
      </c>
      <c r="G1417" s="8">
        <v>3793.0</v>
      </c>
      <c r="H1417" s="8" t="s">
        <v>29</v>
      </c>
      <c r="I1417" s="8" t="s">
        <v>163</v>
      </c>
      <c r="L1417" s="8" t="s">
        <v>37</v>
      </c>
      <c r="P1417" s="9">
        <v>44131.0</v>
      </c>
      <c r="Q1417" s="10">
        <v>0.04166666666424135</v>
      </c>
      <c r="R1417" s="11" t="str">
        <f t="shared" si="1"/>
        <v>Сборка на линии Sec</v>
      </c>
      <c r="S1417" s="12" t="str">
        <f>iferror(VLOOKUP(C1417,'ФИО'!A:B,2,0),"учётный код не найден")</f>
        <v>Савченко Виктория Андреевна</v>
      </c>
      <c r="T1417" s="13" t="str">
        <f t="shared" si="2"/>
        <v>915-00068.A - uklsip(s)220_v3.01 (Гефест)</v>
      </c>
      <c r="U1417" s="8">
        <v>0.0</v>
      </c>
      <c r="V1417" s="8">
        <v>0.0</v>
      </c>
      <c r="W1417" s="17" t="str">
        <f t="shared" si="150"/>
        <v>Данные не заполены</v>
      </c>
      <c r="X1417" s="14" t="str">
        <f t="shared" si="144"/>
        <v>Данные не заполены</v>
      </c>
      <c r="Y1417" s="15">
        <f t="shared" si="145"/>
        <v>0</v>
      </c>
    </row>
    <row r="1418" hidden="1">
      <c r="A1418" s="7">
        <v>44106.79744222222</v>
      </c>
      <c r="B1418" s="8" t="s">
        <v>87</v>
      </c>
      <c r="C1418" s="8">
        <v>21544.0</v>
      </c>
      <c r="D1418" s="8" t="s">
        <v>27</v>
      </c>
      <c r="E1418" s="8" t="s">
        <v>281</v>
      </c>
      <c r="G1418" s="8">
        <v>3233.0</v>
      </c>
      <c r="H1418" s="8" t="s">
        <v>29</v>
      </c>
      <c r="I1418" s="8" t="s">
        <v>60</v>
      </c>
      <c r="L1418" s="8" t="s">
        <v>31</v>
      </c>
      <c r="M1418" s="8" t="s">
        <v>34</v>
      </c>
      <c r="N1418" s="8"/>
      <c r="O1418" s="8"/>
      <c r="P1418" s="9">
        <v>44106.0</v>
      </c>
      <c r="Q1418" s="10">
        <v>0.20833333333575865</v>
      </c>
      <c r="R1418" s="13" t="str">
        <f t="shared" si="1"/>
        <v>Создание программы для AOI PRI</v>
      </c>
      <c r="S1418" s="16" t="str">
        <f>iferror(VLOOKUP(C1418,'ФИО'!A:B,2,0),"учётный код не найден")</f>
        <v>Анфалов Сергей Андреевич</v>
      </c>
      <c r="T1418" s="13" t="str">
        <f t="shared" si="2"/>
        <v>915-00102.A - ПБОК-2В АСЛБ.465285.013 (Квант)</v>
      </c>
      <c r="U1418" s="8">
        <v>0.0</v>
      </c>
      <c r="V1418" s="8">
        <v>0.0</v>
      </c>
      <c r="W1418" s="21" t="str">
        <f t="shared" si="150"/>
        <v>Данные не заполены</v>
      </c>
      <c r="X1418" s="15" t="str">
        <f t="shared" si="144"/>
        <v>Данные не заполены</v>
      </c>
      <c r="Y1418" s="15">
        <f t="shared" si="145"/>
        <v>0</v>
      </c>
    </row>
    <row r="1419" hidden="1">
      <c r="A1419" s="7">
        <v>44110.81210577546</v>
      </c>
      <c r="B1419" s="8" t="s">
        <v>89</v>
      </c>
      <c r="C1419" s="8">
        <v>20693.0</v>
      </c>
      <c r="D1419" s="8" t="s">
        <v>27</v>
      </c>
      <c r="E1419" s="8" t="s">
        <v>168</v>
      </c>
      <c r="G1419" s="8">
        <v>3622.0</v>
      </c>
      <c r="H1419" s="8" t="s">
        <v>29</v>
      </c>
      <c r="I1419" s="8" t="s">
        <v>90</v>
      </c>
      <c r="L1419" s="8" t="s">
        <v>31</v>
      </c>
      <c r="M1419" s="8" t="s">
        <v>297</v>
      </c>
      <c r="N1419" s="8"/>
      <c r="O1419" s="8"/>
      <c r="P1419" s="9">
        <v>44110.0</v>
      </c>
      <c r="Q1419" s="10">
        <v>0.0625</v>
      </c>
      <c r="R1419" s="11" t="str">
        <f t="shared" si="1"/>
        <v>Создание программы для NPM</v>
      </c>
      <c r="S1419" s="16" t="str">
        <f>iferror(VLOOKUP(C1419,'ФИО'!A:B,2,0),"учётный код не найден")</f>
        <v>Аникина Раиса Владимировна</v>
      </c>
      <c r="T1419" s="13" t="str">
        <f t="shared" si="2"/>
        <v>915-00124.A - Tioga Pass_v1.1 (Гагар.ин)</v>
      </c>
      <c r="U1419" s="8">
        <v>0.0</v>
      </c>
      <c r="V1419" s="8">
        <v>0.0</v>
      </c>
      <c r="W1419" s="21" t="str">
        <f t="shared" si="150"/>
        <v>Данные не заполены</v>
      </c>
      <c r="X1419" s="15" t="str">
        <f t="shared" si="144"/>
        <v>Данные не заполены</v>
      </c>
      <c r="Y1419" s="15">
        <f t="shared" si="145"/>
        <v>0</v>
      </c>
    </row>
    <row r="1420" hidden="1">
      <c r="A1420" s="7">
        <v>44110.826959872684</v>
      </c>
      <c r="B1420" s="8" t="s">
        <v>89</v>
      </c>
      <c r="C1420" s="8">
        <v>20693.0</v>
      </c>
      <c r="D1420" s="8" t="s">
        <v>27</v>
      </c>
      <c r="E1420" s="8" t="s">
        <v>168</v>
      </c>
      <c r="G1420" s="8">
        <v>3664.0</v>
      </c>
      <c r="H1420" s="8" t="s">
        <v>29</v>
      </c>
      <c r="I1420" s="8" t="s">
        <v>298</v>
      </c>
      <c r="L1420" s="8" t="s">
        <v>31</v>
      </c>
      <c r="M1420" s="8" t="s">
        <v>299</v>
      </c>
      <c r="N1420" s="8"/>
      <c r="O1420" s="8"/>
      <c r="P1420" s="9">
        <v>44110.0</v>
      </c>
      <c r="Q1420" s="10">
        <v>0.04166666666424135</v>
      </c>
      <c r="R1420" s="11" t="str">
        <f t="shared" si="1"/>
        <v>Создание программы для NPM</v>
      </c>
      <c r="S1420" s="16" t="str">
        <f>iferror(VLOOKUP(C1420,'ФИО'!A:B,2,0),"учётный код не найден")</f>
        <v>Аникина Раиса Владимировна</v>
      </c>
      <c r="T1420" s="13" t="str">
        <f t="shared" si="2"/>
        <v>915-00122.A - Модуль EDIC 0.1.0 (Эррайвал)</v>
      </c>
      <c r="U1420" s="8">
        <v>0.0</v>
      </c>
      <c r="V1420" s="8">
        <v>0.0</v>
      </c>
      <c r="W1420" s="21" t="str">
        <f t="shared" si="150"/>
        <v>Данные не заполены</v>
      </c>
      <c r="X1420" s="15" t="str">
        <f t="shared" si="144"/>
        <v>Данные не заполены</v>
      </c>
      <c r="Y1420" s="15">
        <f t="shared" si="145"/>
        <v>0</v>
      </c>
    </row>
    <row r="1421" hidden="1">
      <c r="A1421" s="7">
        <v>44111.81475503472</v>
      </c>
      <c r="B1421" s="8" t="s">
        <v>89</v>
      </c>
      <c r="C1421" s="8">
        <v>20693.0</v>
      </c>
      <c r="D1421" s="8" t="s">
        <v>27</v>
      </c>
      <c r="E1421" s="8" t="s">
        <v>168</v>
      </c>
      <c r="G1421" s="8">
        <v>3622.0</v>
      </c>
      <c r="H1421" s="8" t="s">
        <v>29</v>
      </c>
      <c r="I1421" s="8" t="s">
        <v>90</v>
      </c>
      <c r="L1421" s="8" t="s">
        <v>31</v>
      </c>
      <c r="M1421" s="8" t="s">
        <v>34</v>
      </c>
      <c r="N1421" s="8"/>
      <c r="O1421" s="8"/>
      <c r="P1421" s="9">
        <v>44111.0</v>
      </c>
      <c r="Q1421" s="10">
        <v>0.375</v>
      </c>
      <c r="R1421" s="11" t="str">
        <f t="shared" si="1"/>
        <v>Создание программы для NPM</v>
      </c>
      <c r="S1421" s="16" t="str">
        <f>iferror(VLOOKUP(C1421,'ФИО'!A:B,2,0),"учётный код не найден")</f>
        <v>Аникина Раиса Владимировна</v>
      </c>
      <c r="T1421" s="13" t="str">
        <f t="shared" si="2"/>
        <v>915-00124.A - Tioga Pass_v1.1 (Гагар.ин)</v>
      </c>
      <c r="U1421" s="8">
        <v>2.0</v>
      </c>
      <c r="V1421" s="8">
        <v>0.0</v>
      </c>
      <c r="W1421" s="21" t="str">
        <f t="shared" si="150"/>
        <v>Данные не заполены</v>
      </c>
      <c r="X1421" s="15" t="str">
        <f t="shared" si="144"/>
        <v>Данные не заполены</v>
      </c>
      <c r="Y1421" s="15">
        <f t="shared" si="145"/>
        <v>0</v>
      </c>
    </row>
    <row r="1422" hidden="1">
      <c r="A1422" s="7">
        <v>44118.836599884264</v>
      </c>
      <c r="B1422" s="8" t="s">
        <v>89</v>
      </c>
      <c r="C1422" s="8">
        <v>20693.0</v>
      </c>
      <c r="D1422" s="8" t="s">
        <v>27</v>
      </c>
      <c r="E1422" s="8" t="s">
        <v>168</v>
      </c>
      <c r="G1422" s="8">
        <v>3621.0</v>
      </c>
      <c r="H1422" s="8" t="s">
        <v>29</v>
      </c>
      <c r="I1422" s="8" t="s">
        <v>30</v>
      </c>
      <c r="L1422" s="8" t="s">
        <v>31</v>
      </c>
      <c r="M1422" s="8" t="s">
        <v>34</v>
      </c>
      <c r="P1422" s="9">
        <v>44118.0</v>
      </c>
      <c r="Q1422" s="10">
        <v>0.16666666666424135</v>
      </c>
      <c r="R1422" s="11" t="str">
        <f t="shared" si="1"/>
        <v>Создание программы для NPM</v>
      </c>
      <c r="S1422" s="16" t="str">
        <f>iferror(VLOOKUP(C1422,'ФИО'!A:B,2,0),"учётный код не найден")</f>
        <v>Аникина Раиса Владимировна</v>
      </c>
      <c r="T1422" s="13" t="str">
        <f t="shared" si="2"/>
        <v>915-00121.A - Процессорный модуль РСЕН.469555.027 (КНС Групп) в ТС</v>
      </c>
      <c r="U1422" s="8">
        <v>2.0</v>
      </c>
      <c r="V1422" s="8">
        <v>0.0</v>
      </c>
      <c r="W1422" s="17" t="str">
        <f t="shared" si="150"/>
        <v>Данные не заполены</v>
      </c>
      <c r="X1422" s="14" t="str">
        <f t="shared" si="144"/>
        <v>Данные не заполены</v>
      </c>
      <c r="Y1422" s="15">
        <f t="shared" si="145"/>
        <v>0</v>
      </c>
    </row>
    <row r="1423" hidden="1">
      <c r="A1423" s="7">
        <v>44126.78760621528</v>
      </c>
      <c r="B1423" s="8" t="s">
        <v>89</v>
      </c>
      <c r="C1423" s="8">
        <v>20693.0</v>
      </c>
      <c r="D1423" s="8" t="s">
        <v>27</v>
      </c>
      <c r="E1423" s="8" t="s">
        <v>168</v>
      </c>
      <c r="G1423" s="8">
        <v>3621.0</v>
      </c>
      <c r="H1423" s="8" t="s">
        <v>29</v>
      </c>
      <c r="I1423" s="8" t="s">
        <v>30</v>
      </c>
      <c r="L1423" s="8" t="s">
        <v>31</v>
      </c>
      <c r="M1423" s="8" t="s">
        <v>34</v>
      </c>
      <c r="P1423" s="9">
        <v>44126.0</v>
      </c>
      <c r="Q1423" s="10">
        <v>0.25</v>
      </c>
      <c r="R1423" s="11" t="str">
        <f t="shared" si="1"/>
        <v>Создание программы для NPM</v>
      </c>
      <c r="S1423" s="16" t="str">
        <f>iferror(VLOOKUP(C1423,'ФИО'!A:B,2,0),"учётный код не найден")</f>
        <v>Аникина Раиса Владимировна</v>
      </c>
      <c r="T1423" s="13" t="str">
        <f t="shared" si="2"/>
        <v>915-00121.A - Процессорный модуль РСЕН.469555.027 (КНС Групп) в ТС</v>
      </c>
      <c r="U1423" s="8">
        <v>1.0</v>
      </c>
      <c r="V1423" s="8">
        <v>0.0</v>
      </c>
      <c r="W1423" s="17" t="str">
        <f t="shared" si="150"/>
        <v>Данные не заполены</v>
      </c>
      <c r="X1423" s="14" t="str">
        <f t="shared" si="144"/>
        <v>Данные не заполены</v>
      </c>
      <c r="Y1423" s="15">
        <f t="shared" si="145"/>
        <v>0</v>
      </c>
    </row>
    <row r="1424" hidden="1">
      <c r="A1424" s="7">
        <v>44122.82735486111</v>
      </c>
      <c r="B1424" s="8" t="s">
        <v>87</v>
      </c>
      <c r="C1424" s="8">
        <v>21752.0</v>
      </c>
      <c r="D1424" s="8" t="s">
        <v>27</v>
      </c>
      <c r="E1424" s="8" t="s">
        <v>256</v>
      </c>
      <c r="G1424" s="8">
        <v>3750.0</v>
      </c>
      <c r="H1424" s="8" t="s">
        <v>45</v>
      </c>
      <c r="K1424" s="8" t="s">
        <v>46</v>
      </c>
      <c r="L1424" s="8" t="s">
        <v>31</v>
      </c>
      <c r="M1424" s="8" t="s">
        <v>300</v>
      </c>
      <c r="P1424" s="9">
        <v>44122.0</v>
      </c>
      <c r="Q1424" s="10">
        <v>0.04166666666424135</v>
      </c>
      <c r="R1424" s="11" t="str">
        <f t="shared" si="1"/>
        <v>Сортировка</v>
      </c>
      <c r="S1424" s="16" t="str">
        <f>iferror(VLOOKUP(C1424,'ФИО'!A:B,2,0),"учётный код не найден")</f>
        <v>Егоров Александр Александрович</v>
      </c>
      <c r="T1424" s="13" t="str">
        <f t="shared" si="2"/>
        <v>ПУ 910-00349.A "Печатный узел основного блока E96 4LIN"</v>
      </c>
      <c r="U1424" s="8">
        <v>0.0</v>
      </c>
      <c r="V1424" s="8">
        <v>0.0</v>
      </c>
      <c r="X1424" s="14" t="str">
        <f t="shared" si="144"/>
        <v>Данные не заполены</v>
      </c>
      <c r="Y1424" s="15">
        <f t="shared" si="145"/>
        <v>0</v>
      </c>
    </row>
    <row r="1425" hidden="1">
      <c r="A1425" s="7">
        <v>44126.824269641205</v>
      </c>
      <c r="B1425" s="8" t="s">
        <v>89</v>
      </c>
      <c r="C1425" s="8">
        <v>21752.0</v>
      </c>
      <c r="D1425" s="8" t="s">
        <v>27</v>
      </c>
      <c r="E1425" s="8" t="s">
        <v>256</v>
      </c>
      <c r="G1425" s="8">
        <v>3714.0</v>
      </c>
      <c r="H1425" s="8" t="s">
        <v>45</v>
      </c>
      <c r="K1425" s="8" t="s">
        <v>301</v>
      </c>
      <c r="L1425" s="8" t="s">
        <v>31</v>
      </c>
      <c r="M1425" s="8" t="s">
        <v>302</v>
      </c>
      <c r="P1425" s="9">
        <v>44126.0</v>
      </c>
      <c r="Q1425" s="10">
        <v>0.19791666666424135</v>
      </c>
      <c r="R1425" s="11" t="str">
        <f t="shared" si="1"/>
        <v>Сортировка</v>
      </c>
      <c r="S1425" s="16" t="str">
        <f>iferror(VLOOKUP(C1425,'ФИО'!A:B,2,0),"учётный код не найден")</f>
        <v>Егоров Александр Александрович</v>
      </c>
      <c r="T1425" s="13" t="str">
        <f t="shared" si="2"/>
        <v>ПУ M18 PRO</v>
      </c>
      <c r="U1425" s="8">
        <v>446.0</v>
      </c>
      <c r="V1425" s="8">
        <v>17.0</v>
      </c>
      <c r="W1425" s="17" t="str">
        <f t="shared" ref="W1425:W1439" si="151">IFERROR((((38412/(ifs(O1425&lt;35,35,O1425&gt;34,O1425)/N1425)*0.7))),"Данные не заполены")</f>
        <v>Данные не заполены</v>
      </c>
      <c r="X1425" s="14" t="str">
        <f t="shared" si="144"/>
        <v>Данные не заполены</v>
      </c>
      <c r="Y1425" s="15">
        <f t="shared" si="145"/>
        <v>0.03811659193</v>
      </c>
    </row>
    <row r="1426" hidden="1">
      <c r="A1426" s="7">
        <v>44121.82333087963</v>
      </c>
      <c r="B1426" s="8" t="s">
        <v>26</v>
      </c>
      <c r="C1426" s="8">
        <v>21475.0</v>
      </c>
      <c r="D1426" s="8" t="s">
        <v>27</v>
      </c>
      <c r="E1426" s="8" t="s">
        <v>109</v>
      </c>
      <c r="G1426" s="8">
        <v>3754.0</v>
      </c>
      <c r="H1426" s="8" t="s">
        <v>45</v>
      </c>
      <c r="K1426" s="8" t="s">
        <v>124</v>
      </c>
      <c r="L1426" s="8" t="s">
        <v>31</v>
      </c>
      <c r="M1426" s="8" t="s">
        <v>34</v>
      </c>
      <c r="P1426" s="9">
        <v>44121.0</v>
      </c>
      <c r="Q1426" s="10">
        <v>0.020833333335758653</v>
      </c>
      <c r="R1426" s="11" t="str">
        <f t="shared" si="1"/>
        <v>Установка компонентов вручную</v>
      </c>
      <c r="S1426" s="16" t="str">
        <f>iferror(VLOOKUP(C1426,'ФИО'!A:B,2,0),"учётный код не найден")</f>
        <v>Байрамашвили Альберт Зурабович</v>
      </c>
      <c r="T1426" s="13" t="str">
        <f t="shared" si="2"/>
        <v>ПУ 910-00120.D - Печатный узел модуля 2CAN+LIN</v>
      </c>
      <c r="U1426" s="8">
        <v>0.0</v>
      </c>
      <c r="V1426" s="8">
        <v>0.0</v>
      </c>
      <c r="W1426" s="17" t="str">
        <f t="shared" si="151"/>
        <v>Данные не заполены</v>
      </c>
      <c r="X1426" s="14" t="str">
        <f t="shared" si="144"/>
        <v>Данные не заполены</v>
      </c>
      <c r="Y1426" s="15">
        <f t="shared" si="145"/>
        <v>0</v>
      </c>
      <c r="Z1426" s="8" t="s">
        <v>303</v>
      </c>
    </row>
    <row r="1427" hidden="1">
      <c r="A1427" s="7">
        <v>44105.84181612269</v>
      </c>
      <c r="B1427" s="8" t="s">
        <v>26</v>
      </c>
      <c r="C1427" s="8">
        <v>21475.0</v>
      </c>
      <c r="D1427" s="18" t="s">
        <v>69</v>
      </c>
      <c r="F1427" s="8" t="s">
        <v>304</v>
      </c>
      <c r="G1427" s="18">
        <v>3370.0</v>
      </c>
      <c r="H1427" s="8" t="s">
        <v>29</v>
      </c>
      <c r="I1427" s="8" t="s">
        <v>73</v>
      </c>
      <c r="L1427" s="18" t="s">
        <v>37</v>
      </c>
      <c r="P1427" s="19">
        <v>44105.0</v>
      </c>
      <c r="Q1427" s="20">
        <v>0.020833333335758653</v>
      </c>
      <c r="R1427" s="13" t="str">
        <f t="shared" si="1"/>
        <v>Формовка компонетов</v>
      </c>
      <c r="S1427" s="16" t="str">
        <f>iferror(VLOOKUP(C1427,'ФИО'!A:B,2,0),"учётный код не найден")</f>
        <v>Байрамашвили Альберт Зурабович</v>
      </c>
      <c r="T1427" s="13" t="str">
        <f t="shared" si="2"/>
        <v>915-00114.A - ПБЭС-37П АСЛБ.467291.010-01 (Квант)</v>
      </c>
      <c r="U1427" s="8">
        <v>46.0</v>
      </c>
      <c r="V1427" s="8">
        <v>0.0</v>
      </c>
      <c r="W1427" s="21" t="str">
        <f t="shared" si="151"/>
        <v>Данные не заполены</v>
      </c>
      <c r="X1427" s="15" t="str">
        <f t="shared" si="144"/>
        <v>Данные не заполены</v>
      </c>
      <c r="Y1427" s="15">
        <f t="shared" si="145"/>
        <v>0</v>
      </c>
    </row>
    <row r="1428" hidden="1">
      <c r="A1428" s="7">
        <v>44130.818150694446</v>
      </c>
      <c r="B1428" s="8" t="s">
        <v>87</v>
      </c>
      <c r="C1428" s="8">
        <v>22575.0</v>
      </c>
      <c r="D1428" s="8" t="s">
        <v>27</v>
      </c>
      <c r="E1428" s="8" t="s">
        <v>82</v>
      </c>
      <c r="G1428" s="8">
        <v>3793.0</v>
      </c>
      <c r="H1428" s="8" t="s">
        <v>29</v>
      </c>
      <c r="I1428" s="8" t="s">
        <v>163</v>
      </c>
      <c r="L1428" s="8" t="s">
        <v>31</v>
      </c>
      <c r="M1428" s="8" t="s">
        <v>34</v>
      </c>
      <c r="P1428" s="9">
        <v>44130.0</v>
      </c>
      <c r="Q1428" s="10">
        <v>0.027777777781011537</v>
      </c>
      <c r="R1428" s="11" t="str">
        <f t="shared" si="1"/>
        <v>Настройка установщиков</v>
      </c>
      <c r="S1428" s="12" t="str">
        <f>iferror(VLOOKUP(C1428,'ФИО'!A:B,2,0),"учётный код не найден")</f>
        <v>Куликов Виктор Алексеевич</v>
      </c>
      <c r="T1428" s="13" t="str">
        <f t="shared" si="2"/>
        <v>915-00068.A - uklsip(s)220_v3.01 (Гефест)</v>
      </c>
      <c r="U1428" s="8">
        <v>0.0</v>
      </c>
      <c r="V1428" s="8">
        <v>0.0</v>
      </c>
      <c r="W1428" s="17" t="str">
        <f t="shared" si="151"/>
        <v>Данные не заполены</v>
      </c>
      <c r="X1428" s="14" t="str">
        <f t="shared" si="144"/>
        <v>Данные не заполены</v>
      </c>
      <c r="Y1428" s="15">
        <f t="shared" si="145"/>
        <v>0</v>
      </c>
    </row>
    <row r="1429" hidden="1">
      <c r="A1429" s="7">
        <v>44130.81913831018</v>
      </c>
      <c r="B1429" s="8" t="s">
        <v>87</v>
      </c>
      <c r="C1429" s="8">
        <v>22575.0</v>
      </c>
      <c r="D1429" s="8" t="s">
        <v>27</v>
      </c>
      <c r="E1429" s="8" t="s">
        <v>67</v>
      </c>
      <c r="G1429" s="8">
        <v>3793.0</v>
      </c>
      <c r="H1429" s="8" t="s">
        <v>29</v>
      </c>
      <c r="I1429" s="8" t="s">
        <v>163</v>
      </c>
      <c r="L1429" s="8" t="s">
        <v>37</v>
      </c>
      <c r="P1429" s="9">
        <v>44130.0</v>
      </c>
      <c r="Q1429" s="10">
        <v>0.38888888889050577</v>
      </c>
      <c r="R1429" s="11" t="str">
        <f t="shared" si="1"/>
        <v>Сборка на линии Prim</v>
      </c>
      <c r="S1429" s="12" t="str">
        <f>iferror(VLOOKUP(C1429,'ФИО'!A:B,2,0),"учётный код не найден")</f>
        <v>Куликов Виктор Алексеевич</v>
      </c>
      <c r="T1429" s="13" t="str">
        <f t="shared" si="2"/>
        <v>915-00068.A - uklsip(s)220_v3.01 (Гефест)</v>
      </c>
      <c r="U1429" s="8">
        <v>0.0</v>
      </c>
      <c r="V1429" s="8">
        <v>0.0</v>
      </c>
      <c r="W1429" s="17" t="str">
        <f t="shared" si="151"/>
        <v>Данные не заполены</v>
      </c>
      <c r="X1429" s="14" t="str">
        <f t="shared" si="144"/>
        <v>Данные не заполены</v>
      </c>
      <c r="Y1429" s="15">
        <f t="shared" si="145"/>
        <v>0</v>
      </c>
    </row>
    <row r="1430" hidden="1">
      <c r="A1430" s="7">
        <v>44131.80759636574</v>
      </c>
      <c r="B1430" s="8" t="s">
        <v>87</v>
      </c>
      <c r="C1430" s="8">
        <v>22575.0</v>
      </c>
      <c r="D1430" s="8" t="s">
        <v>27</v>
      </c>
      <c r="E1430" s="8" t="s">
        <v>88</v>
      </c>
      <c r="G1430" s="8">
        <v>3793.0</v>
      </c>
      <c r="H1430" s="8" t="s">
        <v>29</v>
      </c>
      <c r="I1430" s="8" t="s">
        <v>163</v>
      </c>
      <c r="L1430" s="8" t="s">
        <v>37</v>
      </c>
      <c r="P1430" s="9">
        <v>44131.0</v>
      </c>
      <c r="Q1430" s="10">
        <v>0.10416666666424135</v>
      </c>
      <c r="R1430" s="11" t="str">
        <f t="shared" si="1"/>
        <v>Сборка на линии Sec</v>
      </c>
      <c r="S1430" s="12" t="str">
        <f>iferror(VLOOKUP(C1430,'ФИО'!A:B,2,0),"учётный код не найден")</f>
        <v>Куликов Виктор Алексеевич</v>
      </c>
      <c r="T1430" s="13" t="str">
        <f t="shared" si="2"/>
        <v>915-00068.A - uklsip(s)220_v3.01 (Гефест)</v>
      </c>
      <c r="U1430" s="8">
        <v>0.0</v>
      </c>
      <c r="V1430" s="8">
        <v>0.0</v>
      </c>
      <c r="W1430" s="17" t="str">
        <f t="shared" si="151"/>
        <v>Данные не заполены</v>
      </c>
      <c r="X1430" s="14" t="str">
        <f t="shared" si="144"/>
        <v>Данные не заполены</v>
      </c>
      <c r="Y1430" s="15">
        <f t="shared" si="145"/>
        <v>0</v>
      </c>
    </row>
    <row r="1431" hidden="1">
      <c r="A1431" s="7">
        <v>44131.80987900463</v>
      </c>
      <c r="B1431" s="8" t="s">
        <v>87</v>
      </c>
      <c r="C1431" s="8">
        <v>22575.0</v>
      </c>
      <c r="D1431" s="8" t="s">
        <v>27</v>
      </c>
      <c r="E1431" s="8" t="s">
        <v>57</v>
      </c>
      <c r="G1431" s="8">
        <v>3621.0</v>
      </c>
      <c r="H1431" s="8" t="s">
        <v>29</v>
      </c>
      <c r="I1431" s="8" t="s">
        <v>30</v>
      </c>
      <c r="L1431" s="8" t="s">
        <v>31</v>
      </c>
      <c r="M1431" s="8" t="s">
        <v>34</v>
      </c>
      <c r="P1431" s="9">
        <v>44131.0</v>
      </c>
      <c r="Q1431" s="10">
        <v>0.0034722222189884633</v>
      </c>
      <c r="R1431" s="11" t="str">
        <f t="shared" si="1"/>
        <v>Настройка линии Primary</v>
      </c>
      <c r="S1431" s="12" t="str">
        <f>iferror(VLOOKUP(C1431,'ФИО'!A:B,2,0),"учётный код не найден")</f>
        <v>Куликов Виктор Алексеевич</v>
      </c>
      <c r="T1431" s="13" t="str">
        <f t="shared" si="2"/>
        <v>915-00121.A - Процессорный модуль РСЕН.469555.027 (КНС Групп) в ТС</v>
      </c>
      <c r="U1431" s="8">
        <v>0.0</v>
      </c>
      <c r="V1431" s="8">
        <v>0.0</v>
      </c>
      <c r="W1431" s="17" t="str">
        <f t="shared" si="151"/>
        <v>Данные не заполены</v>
      </c>
      <c r="X1431" s="14" t="str">
        <f t="shared" si="144"/>
        <v>Данные не заполены</v>
      </c>
      <c r="Y1431" s="15">
        <f t="shared" si="145"/>
        <v>0</v>
      </c>
    </row>
    <row r="1432" hidden="1">
      <c r="A1432" s="7">
        <v>44131.812336944444</v>
      </c>
      <c r="B1432" s="8" t="s">
        <v>87</v>
      </c>
      <c r="C1432" s="8">
        <v>22575.0</v>
      </c>
      <c r="D1432" s="8" t="s">
        <v>27</v>
      </c>
      <c r="E1432" s="8" t="s">
        <v>82</v>
      </c>
      <c r="G1432" s="8">
        <v>3621.0</v>
      </c>
      <c r="H1432" s="8" t="s">
        <v>29</v>
      </c>
      <c r="I1432" s="8" t="s">
        <v>30</v>
      </c>
      <c r="L1432" s="8" t="s">
        <v>31</v>
      </c>
      <c r="M1432" s="8" t="s">
        <v>34</v>
      </c>
      <c r="P1432" s="9">
        <v>44131.0</v>
      </c>
      <c r="Q1432" s="10">
        <v>0.03125</v>
      </c>
      <c r="R1432" s="11" t="str">
        <f t="shared" si="1"/>
        <v>Настройка установщиков</v>
      </c>
      <c r="S1432" s="12" t="str">
        <f>iferror(VLOOKUP(C1432,'ФИО'!A:B,2,0),"учётный код не найден")</f>
        <v>Куликов Виктор Алексеевич</v>
      </c>
      <c r="T1432" s="13" t="str">
        <f t="shared" si="2"/>
        <v>915-00121.A - Процессорный модуль РСЕН.469555.027 (КНС Групп) в ТС</v>
      </c>
      <c r="U1432" s="8">
        <v>2.0</v>
      </c>
      <c r="V1432" s="8">
        <v>0.0</v>
      </c>
      <c r="W1432" s="17" t="str">
        <f t="shared" si="151"/>
        <v>Данные не заполены</v>
      </c>
      <c r="X1432" s="14" t="str">
        <f t="shared" si="144"/>
        <v>Данные не заполены</v>
      </c>
      <c r="Y1432" s="15">
        <f t="shared" si="145"/>
        <v>0</v>
      </c>
    </row>
    <row r="1433" hidden="1">
      <c r="A1433" s="7">
        <v>44131.81301042824</v>
      </c>
      <c r="B1433" s="8" t="s">
        <v>87</v>
      </c>
      <c r="C1433" s="8">
        <v>22575.0</v>
      </c>
      <c r="D1433" s="8" t="s">
        <v>27</v>
      </c>
      <c r="E1433" s="8" t="s">
        <v>39</v>
      </c>
      <c r="G1433" s="8">
        <v>3621.0</v>
      </c>
      <c r="H1433" s="8" t="s">
        <v>29</v>
      </c>
      <c r="I1433" s="8" t="s">
        <v>30</v>
      </c>
      <c r="L1433" s="8" t="s">
        <v>31</v>
      </c>
      <c r="M1433" s="8" t="s">
        <v>34</v>
      </c>
      <c r="P1433" s="9">
        <v>44131.0</v>
      </c>
      <c r="Q1433" s="10">
        <v>0.013888888890505768</v>
      </c>
      <c r="R1433" s="11" t="str">
        <f t="shared" si="1"/>
        <v>Зарядка питателей Prim</v>
      </c>
      <c r="S1433" s="12" t="str">
        <f>iferror(VLOOKUP(C1433,'ФИО'!A:B,2,0),"учётный код не найден")</f>
        <v>Куликов Виктор Алексеевич</v>
      </c>
      <c r="T1433" s="13" t="str">
        <f t="shared" si="2"/>
        <v>915-00121.A - Процессорный модуль РСЕН.469555.027 (КНС Групп) в ТС</v>
      </c>
      <c r="U1433" s="8">
        <v>20.0</v>
      </c>
      <c r="V1433" s="8">
        <v>0.0</v>
      </c>
      <c r="W1433" s="17" t="str">
        <f t="shared" si="151"/>
        <v>Данные не заполены</v>
      </c>
      <c r="X1433" s="14" t="str">
        <f t="shared" si="144"/>
        <v>Данные не заполены</v>
      </c>
      <c r="Y1433" s="15">
        <f t="shared" si="145"/>
        <v>0</v>
      </c>
    </row>
    <row r="1434" hidden="1">
      <c r="A1434" s="7">
        <v>44131.81367387732</v>
      </c>
      <c r="B1434" s="8" t="s">
        <v>87</v>
      </c>
      <c r="C1434" s="8">
        <v>22575.0</v>
      </c>
      <c r="D1434" s="8" t="s">
        <v>27</v>
      </c>
      <c r="E1434" s="8" t="s">
        <v>66</v>
      </c>
      <c r="G1434" s="8">
        <v>3621.0</v>
      </c>
      <c r="H1434" s="8" t="s">
        <v>29</v>
      </c>
      <c r="I1434" s="8" t="s">
        <v>30</v>
      </c>
      <c r="L1434" s="8" t="s">
        <v>31</v>
      </c>
      <c r="M1434" s="8" t="s">
        <v>34</v>
      </c>
      <c r="P1434" s="9">
        <v>44131.0</v>
      </c>
      <c r="Q1434" s="10">
        <v>0.0625</v>
      </c>
      <c r="R1434" s="11" t="str">
        <f t="shared" si="1"/>
        <v>Проверка первой платы до оплавления</v>
      </c>
      <c r="S1434" s="12" t="str">
        <f>iferror(VLOOKUP(C1434,'ФИО'!A:B,2,0),"учётный код не найден")</f>
        <v>Куликов Виктор Алексеевич</v>
      </c>
      <c r="T1434" s="13" t="str">
        <f t="shared" si="2"/>
        <v>915-00121.A - Процессорный модуль РСЕН.469555.027 (КНС Групп) в ТС</v>
      </c>
      <c r="U1434" s="8">
        <v>0.0</v>
      </c>
      <c r="V1434" s="8">
        <v>0.0</v>
      </c>
      <c r="W1434" s="17" t="str">
        <f t="shared" si="151"/>
        <v>Данные не заполены</v>
      </c>
      <c r="X1434" s="14" t="str">
        <f t="shared" si="144"/>
        <v>Данные не заполены</v>
      </c>
      <c r="Y1434" s="15">
        <f t="shared" si="145"/>
        <v>0</v>
      </c>
    </row>
    <row r="1435" hidden="1">
      <c r="A1435" s="7">
        <v>44117.331353657406</v>
      </c>
      <c r="B1435" s="8" t="s">
        <v>38</v>
      </c>
      <c r="C1435" s="8">
        <v>22087.0</v>
      </c>
      <c r="D1435" s="8" t="s">
        <v>27</v>
      </c>
      <c r="E1435" s="8" t="s">
        <v>62</v>
      </c>
      <c r="G1435" s="8">
        <v>3238.0</v>
      </c>
      <c r="H1435" s="8" t="s">
        <v>29</v>
      </c>
      <c r="I1435" s="8" t="s">
        <v>43</v>
      </c>
      <c r="L1435" s="8" t="s">
        <v>31</v>
      </c>
      <c r="M1435" s="8" t="s">
        <v>34</v>
      </c>
      <c r="N1435" s="8"/>
      <c r="O1435" s="8"/>
      <c r="P1435" s="9">
        <v>44116.0</v>
      </c>
      <c r="Q1435" s="10">
        <v>0.04166666666424135</v>
      </c>
      <c r="R1435" s="11" t="str">
        <f t="shared" si="1"/>
        <v>ReviewStation pri</v>
      </c>
      <c r="S1435" s="16" t="str">
        <f>iferror(VLOOKUP(C1435,'ФИО'!A:B,2,0),"учётный код не найден")</f>
        <v>Хохряков Илья Александрович</v>
      </c>
      <c r="T1435" s="13" t="str">
        <f t="shared" si="2"/>
        <v>915-00097.A - ПКД-8В-3 АСЛБ.467249.110 (Квант)</v>
      </c>
      <c r="U1435" s="8">
        <v>0.0</v>
      </c>
      <c r="V1435" s="8">
        <v>12.0</v>
      </c>
      <c r="W1435" s="21" t="str">
        <f t="shared" si="151"/>
        <v>Данные не заполены</v>
      </c>
      <c r="X1435" s="15" t="str">
        <f t="shared" si="144"/>
        <v>Данные не заполены</v>
      </c>
      <c r="Y1435" s="15">
        <f t="shared" si="145"/>
        <v>12</v>
      </c>
      <c r="Z1435" s="8" t="s">
        <v>64</v>
      </c>
    </row>
    <row r="1436" hidden="1">
      <c r="A1436" s="7">
        <v>44131.81417670139</v>
      </c>
      <c r="B1436" s="8" t="s">
        <v>87</v>
      </c>
      <c r="C1436" s="8">
        <v>22575.0</v>
      </c>
      <c r="D1436" s="8" t="s">
        <v>27</v>
      </c>
      <c r="E1436" s="8" t="s">
        <v>68</v>
      </c>
      <c r="L1436" s="8" t="s">
        <v>31</v>
      </c>
      <c r="M1436" s="8" t="s">
        <v>34</v>
      </c>
      <c r="P1436" s="9">
        <v>44131.0</v>
      </c>
      <c r="Q1436" s="10">
        <v>0.020833333335758653</v>
      </c>
      <c r="R1436" s="11" t="str">
        <f t="shared" si="1"/>
        <v>Прохождение обучения</v>
      </c>
      <c r="S1436" s="12" t="str">
        <f>iferror(VLOOKUP(C1436,'ФИО'!A:B,2,0),"учётный код не найден")</f>
        <v>Куликов Виктор Алексеевич</v>
      </c>
      <c r="T1436" s="13" t="str">
        <f t="shared" si="2"/>
        <v/>
      </c>
      <c r="W1436" s="17" t="str">
        <f t="shared" si="151"/>
        <v>Данные не заполены</v>
      </c>
      <c r="X1436" s="14" t="str">
        <f t="shared" si="144"/>
        <v>Данные не заполены</v>
      </c>
      <c r="Y1436" s="15">
        <f t="shared" si="145"/>
        <v>0</v>
      </c>
    </row>
    <row r="1437" hidden="1">
      <c r="A1437" s="7">
        <v>44109.320037233796</v>
      </c>
      <c r="B1437" s="8" t="s">
        <v>38</v>
      </c>
      <c r="C1437" s="8">
        <v>21475.0</v>
      </c>
      <c r="D1437" s="8" t="s">
        <v>27</v>
      </c>
      <c r="E1437" s="8" t="s">
        <v>62</v>
      </c>
      <c r="G1437" s="8">
        <v>3706.0</v>
      </c>
      <c r="H1437" s="8" t="s">
        <v>45</v>
      </c>
      <c r="K1437" s="8" t="s">
        <v>91</v>
      </c>
      <c r="L1437" s="8" t="s">
        <v>31</v>
      </c>
      <c r="M1437" s="8" t="s">
        <v>34</v>
      </c>
      <c r="N1437" s="8"/>
      <c r="O1437" s="8"/>
      <c r="P1437" s="9">
        <v>44108.0</v>
      </c>
      <c r="Q1437" s="10">
        <v>0.04166666666424135</v>
      </c>
      <c r="R1437" s="11" t="str">
        <f t="shared" si="1"/>
        <v>ReviewStation pri</v>
      </c>
      <c r="S1437" s="16" t="str">
        <f>iferror(VLOOKUP(C1437,'ФИО'!A:B,2,0),"учётный код не найден")</f>
        <v>Байрамашвили Альберт Зурабович</v>
      </c>
      <c r="T1437" s="13" t="str">
        <f t="shared" si="2"/>
        <v>ПУ Сигма 10/15 910-00080.D</v>
      </c>
      <c r="U1437" s="8">
        <v>110.0</v>
      </c>
      <c r="V1437" s="8">
        <v>18.0</v>
      </c>
      <c r="W1437" s="21" t="str">
        <f t="shared" si="151"/>
        <v>Данные не заполены</v>
      </c>
      <c r="X1437" s="15" t="str">
        <f t="shared" si="144"/>
        <v>Данные не заполены</v>
      </c>
      <c r="Y1437" s="15">
        <f t="shared" si="145"/>
        <v>0.1636363636</v>
      </c>
      <c r="Z1437" s="8" t="s">
        <v>64</v>
      </c>
    </row>
    <row r="1438" hidden="1">
      <c r="A1438" s="7">
        <v>44106.8236883912</v>
      </c>
      <c r="B1438" s="8" t="s">
        <v>87</v>
      </c>
      <c r="C1438" s="8">
        <v>20985.0</v>
      </c>
      <c r="D1438" s="8" t="s">
        <v>69</v>
      </c>
      <c r="F1438" s="8" t="s">
        <v>290</v>
      </c>
      <c r="G1438" s="8">
        <v>3047.0</v>
      </c>
      <c r="H1438" s="8" t="s">
        <v>29</v>
      </c>
      <c r="I1438" s="8" t="s">
        <v>77</v>
      </c>
      <c r="L1438" s="8" t="s">
        <v>37</v>
      </c>
      <c r="P1438" s="9">
        <v>44106.0</v>
      </c>
      <c r="Q1438" s="10">
        <v>0.03125</v>
      </c>
      <c r="R1438" s="13" t="str">
        <f t="shared" si="1"/>
        <v>Установка компонентов  на платы (ручная) PRI</v>
      </c>
      <c r="S1438" s="16" t="str">
        <f>iferror(VLOOKUP(C1438,'ФИО'!A:B,2,0),"учётный код не найден")</f>
        <v>Никонорова Наталия Владимировна</v>
      </c>
      <c r="T1438" s="13" t="str">
        <f t="shared" si="2"/>
        <v>915-00081.A-Модуль Трик8 (Кибертех)</v>
      </c>
      <c r="U1438" s="8">
        <v>0.0</v>
      </c>
      <c r="V1438" s="8">
        <v>0.0</v>
      </c>
      <c r="W1438" s="21" t="str">
        <f t="shared" si="151"/>
        <v>Данные не заполены</v>
      </c>
      <c r="X1438" s="15" t="str">
        <f t="shared" si="144"/>
        <v>Данные не заполены</v>
      </c>
      <c r="Y1438" s="15">
        <f t="shared" si="145"/>
        <v>0</v>
      </c>
    </row>
    <row r="1439" hidden="1">
      <c r="A1439" s="7">
        <v>44119.82714313657</v>
      </c>
      <c r="B1439" s="8" t="s">
        <v>89</v>
      </c>
      <c r="C1439" s="8">
        <v>21852.0</v>
      </c>
      <c r="D1439" s="8" t="s">
        <v>69</v>
      </c>
      <c r="F1439" s="8" t="s">
        <v>290</v>
      </c>
      <c r="G1439" s="8">
        <v>3238.0</v>
      </c>
      <c r="H1439" s="8" t="s">
        <v>29</v>
      </c>
      <c r="I1439" s="8" t="s">
        <v>43</v>
      </c>
      <c r="L1439" s="8" t="s">
        <v>37</v>
      </c>
      <c r="P1439" s="9">
        <v>44119.0</v>
      </c>
      <c r="Q1439" s="10">
        <v>0.04166666666424135</v>
      </c>
      <c r="R1439" s="11" t="str">
        <f t="shared" si="1"/>
        <v>Установка компонентов  на платы (ручная) PRI</v>
      </c>
      <c r="S1439" s="16" t="str">
        <f>iferror(VLOOKUP(C1439,'ФИО'!A:B,2,0),"учётный код не найден")</f>
        <v>Пономарев Юрий Андреевич</v>
      </c>
      <c r="T1439" s="13" t="str">
        <f t="shared" si="2"/>
        <v>915-00097.A - ПКД-8В-3 АСЛБ.467249.110 (Квант)</v>
      </c>
      <c r="U1439" s="8">
        <v>0.0</v>
      </c>
      <c r="V1439" s="8">
        <v>0.0</v>
      </c>
      <c r="W1439" s="17" t="str">
        <f t="shared" si="151"/>
        <v>Данные не заполены</v>
      </c>
      <c r="X1439" s="14" t="str">
        <f t="shared" si="144"/>
        <v>Данные не заполены</v>
      </c>
      <c r="Y1439" s="15">
        <f t="shared" si="145"/>
        <v>0</v>
      </c>
    </row>
    <row r="1440" hidden="1">
      <c r="A1440" s="7">
        <v>44122.82943814815</v>
      </c>
      <c r="B1440" s="8" t="s">
        <v>87</v>
      </c>
      <c r="C1440" s="8">
        <v>21928.0</v>
      </c>
      <c r="D1440" s="8" t="s">
        <v>69</v>
      </c>
      <c r="F1440" s="8" t="s">
        <v>290</v>
      </c>
      <c r="G1440" s="8">
        <v>3750.0</v>
      </c>
      <c r="H1440" s="8" t="s">
        <v>45</v>
      </c>
      <c r="K1440" s="8" t="s">
        <v>46</v>
      </c>
      <c r="L1440" s="8" t="s">
        <v>37</v>
      </c>
      <c r="P1440" s="9">
        <v>44122.0</v>
      </c>
      <c r="Q1440" s="10">
        <v>0.0625</v>
      </c>
      <c r="R1440" s="11" t="str">
        <f t="shared" si="1"/>
        <v>Установка компонентов  на платы (ручная) PRI</v>
      </c>
      <c r="S1440" s="16" t="str">
        <f>iferror(VLOOKUP(C1440,'ФИО'!A:B,2,0),"учётный код не найден")</f>
        <v>Савченко Виктория Андреевна</v>
      </c>
      <c r="T1440" s="13" t="str">
        <f t="shared" si="2"/>
        <v>ПУ 910-00349.A "Печатный узел основного блока E96 4LIN"</v>
      </c>
      <c r="U1440" s="8">
        <v>140.0</v>
      </c>
      <c r="V1440" s="8">
        <v>0.0</v>
      </c>
      <c r="X1440" s="14" t="str">
        <f t="shared" si="144"/>
        <v>Данные не заполены</v>
      </c>
      <c r="Y1440" s="15">
        <f t="shared" si="145"/>
        <v>0</v>
      </c>
    </row>
    <row r="1441" hidden="1">
      <c r="A1441" s="7">
        <v>44122.83211459491</v>
      </c>
      <c r="B1441" s="8" t="s">
        <v>87</v>
      </c>
      <c r="C1441" s="8">
        <v>21928.0</v>
      </c>
      <c r="D1441" s="8" t="s">
        <v>69</v>
      </c>
      <c r="F1441" s="8" t="s">
        <v>290</v>
      </c>
      <c r="G1441" s="8">
        <v>3047.0</v>
      </c>
      <c r="H1441" s="8" t="s">
        <v>29</v>
      </c>
      <c r="I1441" s="8" t="s">
        <v>77</v>
      </c>
      <c r="L1441" s="8" t="s">
        <v>37</v>
      </c>
      <c r="P1441" s="9">
        <v>44122.0</v>
      </c>
      <c r="Q1441" s="10">
        <v>0.0625</v>
      </c>
      <c r="R1441" s="11" t="str">
        <f t="shared" si="1"/>
        <v>Установка компонентов  на платы (ручная) PRI</v>
      </c>
      <c r="S1441" s="16" t="str">
        <f>iferror(VLOOKUP(C1441,'ФИО'!A:B,2,0),"учётный код не найден")</f>
        <v>Савченко Виктория Андреевна</v>
      </c>
      <c r="T1441" s="13" t="str">
        <f t="shared" si="2"/>
        <v>915-00081.A-Модуль Трик8 (Кибертех)</v>
      </c>
      <c r="U1441" s="8">
        <v>15.0</v>
      </c>
      <c r="V1441" s="8">
        <v>0.0</v>
      </c>
      <c r="X1441" s="14" t="str">
        <f t="shared" si="144"/>
        <v>Данные не заполены</v>
      </c>
      <c r="Y1441" s="15">
        <f t="shared" si="145"/>
        <v>0</v>
      </c>
    </row>
    <row r="1442" hidden="1">
      <c r="A1442" s="7">
        <v>44127.3106182176</v>
      </c>
      <c r="B1442" s="8" t="s">
        <v>94</v>
      </c>
      <c r="C1442" s="8">
        <v>20985.0</v>
      </c>
      <c r="D1442" s="8" t="s">
        <v>69</v>
      </c>
      <c r="F1442" s="8" t="s">
        <v>290</v>
      </c>
      <c r="G1442" s="8">
        <v>3252.0</v>
      </c>
      <c r="H1442" s="8" t="s">
        <v>29</v>
      </c>
      <c r="I1442" s="8" t="s">
        <v>96</v>
      </c>
      <c r="L1442" s="8" t="s">
        <v>37</v>
      </c>
      <c r="P1442" s="9">
        <v>44126.0</v>
      </c>
      <c r="Q1442" s="10">
        <v>0.10416666666424135</v>
      </c>
      <c r="R1442" s="11" t="str">
        <f t="shared" si="1"/>
        <v>Установка компонентов  на платы (ручная) PRI</v>
      </c>
      <c r="S1442" s="16" t="str">
        <f>iferror(VLOOKUP(C1442,'ФИО'!A:B,2,0),"учётный код не найден")</f>
        <v>Никонорова Наталия Владимировна</v>
      </c>
      <c r="T1442" s="13" t="str">
        <f t="shared" si="2"/>
        <v>915-00096.A - ПКД-8В-2 АСЛБ.467249.109</v>
      </c>
      <c r="U1442" s="8">
        <v>34.0</v>
      </c>
      <c r="V1442" s="8">
        <v>0.0</v>
      </c>
      <c r="W1442" s="17" t="str">
        <f t="shared" ref="W1442:W1443" si="152">IFERROR((((38412/(ifs(O1442&lt;35,35,O1442&gt;34,O1442)/N1442)*0.7))),"Данные не заполены")</f>
        <v>Данные не заполены</v>
      </c>
      <c r="X1442" s="14" t="str">
        <f t="shared" si="144"/>
        <v>Данные не заполены</v>
      </c>
      <c r="Y1442" s="15">
        <f t="shared" si="145"/>
        <v>0</v>
      </c>
    </row>
    <row r="1443" hidden="1">
      <c r="A1443" s="7">
        <v>44131.33417349537</v>
      </c>
      <c r="B1443" s="8" t="s">
        <v>76</v>
      </c>
      <c r="C1443" s="8">
        <v>21852.0</v>
      </c>
      <c r="D1443" s="8" t="s">
        <v>69</v>
      </c>
      <c r="F1443" s="8" t="s">
        <v>290</v>
      </c>
      <c r="G1443" s="8">
        <v>3253.0</v>
      </c>
      <c r="H1443" s="8" t="s">
        <v>29</v>
      </c>
      <c r="I1443" s="8" t="s">
        <v>95</v>
      </c>
      <c r="L1443" s="8" t="s">
        <v>37</v>
      </c>
      <c r="P1443" s="9">
        <v>44130.0</v>
      </c>
      <c r="Q1443" s="10">
        <v>0.04166666666424135</v>
      </c>
      <c r="R1443" s="11" t="str">
        <f t="shared" si="1"/>
        <v>Установка компонентов  на платы (ручная) PRI</v>
      </c>
      <c r="S1443" s="12" t="str">
        <f>iferror(VLOOKUP(C1443,'ФИО'!A:B,2,0),"учётный код не найден")</f>
        <v>Пономарев Юрий Андреевич</v>
      </c>
      <c r="T1443" s="13" t="str">
        <f t="shared" si="2"/>
        <v>915-00095.A - ПКД-8В-1 АСЛБ.467249.108 (Квант)</v>
      </c>
      <c r="U1443" s="8">
        <v>31.0</v>
      </c>
      <c r="V1443" s="8">
        <v>0.0</v>
      </c>
      <c r="W1443" s="17" t="str">
        <f t="shared" si="152"/>
        <v>Данные не заполены</v>
      </c>
      <c r="X1443" s="14" t="str">
        <f t="shared" si="144"/>
        <v>Данные не заполены</v>
      </c>
      <c r="Y1443" s="15">
        <f t="shared" si="145"/>
        <v>0</v>
      </c>
    </row>
    <row r="1444" hidden="1">
      <c r="A1444" s="7">
        <v>44131.831446157405</v>
      </c>
      <c r="B1444" s="8" t="s">
        <v>87</v>
      </c>
      <c r="C1444" s="8">
        <v>21928.0</v>
      </c>
      <c r="D1444" s="8" t="s">
        <v>69</v>
      </c>
      <c r="F1444" s="8" t="s">
        <v>290</v>
      </c>
      <c r="G1444" s="8">
        <v>3253.0</v>
      </c>
      <c r="H1444" s="8" t="s">
        <v>29</v>
      </c>
      <c r="I1444" s="8" t="s">
        <v>63</v>
      </c>
      <c r="L1444" s="8" t="s">
        <v>37</v>
      </c>
      <c r="P1444" s="9">
        <v>44131.0</v>
      </c>
      <c r="Q1444" s="10">
        <v>0.04166666666424135</v>
      </c>
      <c r="R1444" s="11" t="str">
        <f t="shared" si="1"/>
        <v>Установка компонентов  на платы (ручная) PRI</v>
      </c>
      <c r="S1444" s="12" t="str">
        <f>iferror(VLOOKUP(C1444,'ФИО'!A:B,2,0),"учётный код не найден")</f>
        <v>Савченко Виктория Андреевна</v>
      </c>
      <c r="T1444" s="13" t="str">
        <f t="shared" si="2"/>
        <v>915-00103.A - ПБОК-1В АСЛБ.465285.012 (Квант)</v>
      </c>
      <c r="U1444" s="8">
        <v>0.0</v>
      </c>
      <c r="V1444" s="8">
        <v>0.0</v>
      </c>
    </row>
    <row r="1445" hidden="1">
      <c r="A1445" s="7">
        <v>44112.82780273148</v>
      </c>
      <c r="B1445" s="8" t="s">
        <v>26</v>
      </c>
      <c r="C1445" s="8">
        <v>21475.0</v>
      </c>
      <c r="D1445" s="8" t="s">
        <v>27</v>
      </c>
      <c r="E1445" s="8" t="s">
        <v>62</v>
      </c>
      <c r="G1445" s="8">
        <v>3580.0</v>
      </c>
      <c r="H1445" s="8" t="s">
        <v>29</v>
      </c>
      <c r="I1445" s="8" t="s">
        <v>145</v>
      </c>
      <c r="L1445" s="8" t="s">
        <v>37</v>
      </c>
      <c r="P1445" s="9">
        <v>44112.0</v>
      </c>
      <c r="Q1445" s="10">
        <v>0.4375</v>
      </c>
      <c r="R1445" s="11" t="str">
        <f t="shared" si="1"/>
        <v>ReviewStation pri</v>
      </c>
      <c r="S1445" s="16" t="str">
        <f>iferror(VLOOKUP(C1445,'ФИО'!A:B,2,0),"учётный код не найден")</f>
        <v>Байрамашвили Альберт Зурабович</v>
      </c>
      <c r="T1445" s="13" t="str">
        <f t="shared" si="2"/>
        <v>XR (OÜ KLARBERG)</v>
      </c>
      <c r="U1445" s="8">
        <v>428.0</v>
      </c>
      <c r="V1445" s="8">
        <v>332.0</v>
      </c>
      <c r="W1445" s="21" t="str">
        <f t="shared" ref="W1445:W1446" si="153">IFERROR((((38412/(ifs(O1445&lt;35,35,O1445&gt;34,O1445)/N1445)*0.7))),"Данные не заполены")</f>
        <v>Данные не заполены</v>
      </c>
      <c r="X1445" s="15" t="str">
        <f t="shared" ref="X1445:X1733" si="154">IFERROR((((V1445+U1445)/Q1445)/24)/(W1445/11),"Данные не заполены")</f>
        <v>Данные не заполены</v>
      </c>
      <c r="Y1445" s="15">
        <f t="shared" ref="Y1445:Y1558" si="155">iferror((V1445/if(U1445=0,1,U1445)),0)</f>
        <v>0.7757009346</v>
      </c>
      <c r="Z1445" s="8" t="s">
        <v>64</v>
      </c>
    </row>
    <row r="1446" hidden="1">
      <c r="A1446" s="7">
        <v>44110.14738967593</v>
      </c>
      <c r="B1446" s="8" t="s">
        <v>94</v>
      </c>
      <c r="C1446" s="8">
        <v>20985.0</v>
      </c>
      <c r="D1446" s="8" t="s">
        <v>69</v>
      </c>
      <c r="F1446" s="8" t="s">
        <v>305</v>
      </c>
      <c r="G1446" s="8">
        <v>3233.0</v>
      </c>
      <c r="H1446" s="8" t="s">
        <v>29</v>
      </c>
      <c r="I1446" s="8" t="s">
        <v>60</v>
      </c>
      <c r="L1446" s="8" t="s">
        <v>31</v>
      </c>
      <c r="M1446" s="8" t="s">
        <v>241</v>
      </c>
      <c r="N1446" s="8"/>
      <c r="O1446" s="8"/>
      <c r="P1446" s="9">
        <v>44109.0</v>
      </c>
      <c r="Q1446" s="10">
        <v>0.006944444445252884</v>
      </c>
      <c r="R1446" s="11" t="str">
        <f t="shared" si="1"/>
        <v>Установка компонентов  на платы (ручная) SEC</v>
      </c>
      <c r="S1446" s="16" t="str">
        <f>iferror(VLOOKUP(C1446,'ФИО'!A:B,2,0),"учётный код не найден")</f>
        <v>Никонорова Наталия Владимировна</v>
      </c>
      <c r="T1446" s="13" t="str">
        <f t="shared" si="2"/>
        <v>915-00102.A - ПБОК-2В АСЛБ.465285.013 (Квант)</v>
      </c>
      <c r="U1446" s="8">
        <v>8.0</v>
      </c>
      <c r="V1446" s="8">
        <v>0.0</v>
      </c>
      <c r="W1446" s="21" t="str">
        <f t="shared" si="153"/>
        <v>Данные не заполены</v>
      </c>
      <c r="X1446" s="15" t="str">
        <f t="shared" si="154"/>
        <v>Данные не заполены</v>
      </c>
      <c r="Y1446" s="15">
        <f t="shared" si="155"/>
        <v>0</v>
      </c>
    </row>
    <row r="1447" hidden="1">
      <c r="A1447" s="7">
        <v>44123.82664068287</v>
      </c>
      <c r="B1447" s="8" t="s">
        <v>87</v>
      </c>
      <c r="C1447" s="8">
        <v>20015.0</v>
      </c>
      <c r="D1447" s="8" t="s">
        <v>27</v>
      </c>
      <c r="E1447" s="8" t="s">
        <v>100</v>
      </c>
      <c r="G1447" s="8">
        <v>3754.0</v>
      </c>
      <c r="H1447" s="8" t="s">
        <v>45</v>
      </c>
      <c r="K1447" s="8" t="s">
        <v>124</v>
      </c>
      <c r="L1447" s="8" t="s">
        <v>37</v>
      </c>
      <c r="P1447" s="9">
        <v>44123.0</v>
      </c>
      <c r="Q1447" s="10">
        <v>0.45833333333575865</v>
      </c>
      <c r="R1447" s="11" t="str">
        <f t="shared" si="1"/>
        <v>Проверка плат на АОИ Sec</v>
      </c>
      <c r="S1447" s="16" t="str">
        <f>iferror(VLOOKUP(C1447,'ФИО'!A:B,2,0),"учётный код не найден")</f>
        <v>Ельцов Андрей Николаевич</v>
      </c>
      <c r="T1447" s="13" t="str">
        <f t="shared" si="2"/>
        <v>ПУ 910-00120.D - Печатный узел модуля 2CAN+LIN</v>
      </c>
      <c r="U1447" s="8">
        <v>5745.0</v>
      </c>
      <c r="V1447" s="8">
        <v>1347.0</v>
      </c>
      <c r="X1447" s="14" t="str">
        <f t="shared" si="154"/>
        <v>Данные не заполены</v>
      </c>
      <c r="Y1447" s="15">
        <f t="shared" si="155"/>
        <v>0.234464752</v>
      </c>
    </row>
    <row r="1448" hidden="1">
      <c r="A1448" s="7">
        <v>44122.83465693287</v>
      </c>
      <c r="B1448" s="8" t="s">
        <v>87</v>
      </c>
      <c r="C1448" s="8">
        <v>21752.0</v>
      </c>
      <c r="D1448" s="8" t="s">
        <v>69</v>
      </c>
      <c r="F1448" s="8" t="s">
        <v>305</v>
      </c>
      <c r="G1448" s="8">
        <v>3047.0</v>
      </c>
      <c r="H1448" s="8" t="s">
        <v>29</v>
      </c>
      <c r="I1448" s="8" t="s">
        <v>77</v>
      </c>
      <c r="L1448" s="8" t="s">
        <v>37</v>
      </c>
      <c r="P1448" s="9">
        <v>44122.0</v>
      </c>
      <c r="Q1448" s="10">
        <v>0.055555555554747116</v>
      </c>
      <c r="R1448" s="11" t="str">
        <f t="shared" si="1"/>
        <v>Установка компонентов  на платы (ручная) SEC</v>
      </c>
      <c r="S1448" s="16" t="str">
        <f>iferror(VLOOKUP(C1448,'ФИО'!A:B,2,0),"учётный код не найден")</f>
        <v>Егоров Александр Александрович</v>
      </c>
      <c r="T1448" s="13" t="str">
        <f t="shared" si="2"/>
        <v>915-00081.A-Модуль Трик8 (Кибертех)</v>
      </c>
      <c r="U1448" s="8">
        <v>46.0</v>
      </c>
      <c r="V1448" s="8">
        <v>0.0</v>
      </c>
      <c r="X1448" s="14" t="str">
        <f t="shared" si="154"/>
        <v>Данные не заполены</v>
      </c>
      <c r="Y1448" s="15">
        <f t="shared" si="155"/>
        <v>0</v>
      </c>
    </row>
    <row r="1449" hidden="1">
      <c r="A1449" s="7">
        <v>44131.8170721412</v>
      </c>
      <c r="B1449" s="8" t="s">
        <v>87</v>
      </c>
      <c r="C1449" s="8">
        <v>22575.0</v>
      </c>
      <c r="D1449" s="8" t="s">
        <v>69</v>
      </c>
      <c r="F1449" s="8" t="s">
        <v>284</v>
      </c>
      <c r="G1449" s="8">
        <v>3253.0</v>
      </c>
      <c r="H1449" s="8" t="s">
        <v>29</v>
      </c>
      <c r="I1449" s="8" t="s">
        <v>95</v>
      </c>
      <c r="L1449" s="8" t="s">
        <v>31</v>
      </c>
      <c r="M1449" s="8" t="s">
        <v>34</v>
      </c>
      <c r="P1449" s="9">
        <v>44131.0</v>
      </c>
      <c r="Q1449" s="10">
        <v>0.09722222221898846</v>
      </c>
      <c r="R1449" s="11" t="str">
        <f t="shared" si="1"/>
        <v>Установка винтов</v>
      </c>
      <c r="S1449" s="12" t="str">
        <f>iferror(VLOOKUP(C1449,'ФИО'!A:B,2,0),"учётный код не найден")</f>
        <v>Куликов Виктор Алексеевич</v>
      </c>
      <c r="T1449" s="13" t="str">
        <f t="shared" si="2"/>
        <v>915-00095.A - ПКД-8В-1 АСЛБ.467249.108 (Квант)</v>
      </c>
      <c r="U1449" s="8">
        <v>40.0</v>
      </c>
      <c r="V1449" s="8">
        <v>0.0</v>
      </c>
      <c r="W1449" s="17" t="str">
        <f t="shared" ref="W1449:W1464" si="156">IFERROR((((38412/(ifs(O1449&lt;35,35,O1449&gt;34,O1449)/N1449)*0.7))),"Данные не заполены")</f>
        <v>Данные не заполены</v>
      </c>
      <c r="X1449" s="14" t="str">
        <f t="shared" si="154"/>
        <v>Данные не заполены</v>
      </c>
      <c r="Y1449" s="15">
        <f t="shared" si="155"/>
        <v>0</v>
      </c>
    </row>
    <row r="1450" hidden="1">
      <c r="A1450" s="7">
        <v>44131.81804795139</v>
      </c>
      <c r="B1450" s="8" t="s">
        <v>87</v>
      </c>
      <c r="C1450" s="8">
        <v>22575.0</v>
      </c>
      <c r="D1450" s="8" t="s">
        <v>27</v>
      </c>
      <c r="E1450" s="8" t="s">
        <v>67</v>
      </c>
      <c r="G1450" s="8">
        <v>3621.0</v>
      </c>
      <c r="H1450" s="8" t="s">
        <v>29</v>
      </c>
      <c r="I1450" s="8" t="s">
        <v>30</v>
      </c>
      <c r="L1450" s="8" t="s">
        <v>37</v>
      </c>
      <c r="P1450" s="9">
        <v>44131.0</v>
      </c>
      <c r="Q1450" s="10">
        <v>0.125</v>
      </c>
      <c r="R1450" s="11" t="str">
        <f t="shared" si="1"/>
        <v>Сборка на линии Prim</v>
      </c>
      <c r="S1450" s="12" t="str">
        <f>iferror(VLOOKUP(C1450,'ФИО'!A:B,2,0),"учётный код не найден")</f>
        <v>Куликов Виктор Алексеевич</v>
      </c>
      <c r="T1450" s="13" t="str">
        <f t="shared" si="2"/>
        <v>915-00121.A - Процессорный модуль РСЕН.469555.027 (КНС Групп) в ТС</v>
      </c>
      <c r="U1450" s="8">
        <v>0.0</v>
      </c>
      <c r="V1450" s="8">
        <v>0.0</v>
      </c>
      <c r="W1450" s="17" t="str">
        <f t="shared" si="156"/>
        <v>Данные не заполены</v>
      </c>
      <c r="X1450" s="14" t="str">
        <f t="shared" si="154"/>
        <v>Данные не заполены</v>
      </c>
      <c r="Y1450" s="15">
        <f t="shared" si="155"/>
        <v>0</v>
      </c>
    </row>
    <row r="1451" hidden="1">
      <c r="A1451" s="7">
        <v>44118.83333267361</v>
      </c>
      <c r="B1451" s="8" t="s">
        <v>89</v>
      </c>
      <c r="C1451" s="8">
        <v>20693.0</v>
      </c>
      <c r="D1451" s="8" t="s">
        <v>27</v>
      </c>
      <c r="E1451" s="8" t="s">
        <v>109</v>
      </c>
      <c r="G1451" s="8">
        <v>3622.0</v>
      </c>
      <c r="H1451" s="8" t="s">
        <v>29</v>
      </c>
      <c r="I1451" s="8" t="s">
        <v>90</v>
      </c>
      <c r="L1451" s="8" t="s">
        <v>31</v>
      </c>
      <c r="M1451" s="8" t="s">
        <v>34</v>
      </c>
      <c r="P1451" s="9">
        <v>44118.0</v>
      </c>
      <c r="Q1451" s="10">
        <v>0.041666666666666664</v>
      </c>
      <c r="R1451" s="11" t="str">
        <f t="shared" si="1"/>
        <v>Установка компонентов вручную</v>
      </c>
      <c r="S1451" s="16" t="str">
        <f>iferror(VLOOKUP(C1451,'ФИО'!A:B,2,0),"учётный код не найден")</f>
        <v>Аникина Раиса Владимировна</v>
      </c>
      <c r="T1451" s="13" t="str">
        <f t="shared" si="2"/>
        <v>915-00124.A - Tioga Pass_v1.1 (Гагар.ин)</v>
      </c>
      <c r="U1451" s="8">
        <v>0.0</v>
      </c>
      <c r="V1451" s="8">
        <v>0.0</v>
      </c>
      <c r="W1451" s="17" t="str">
        <f t="shared" si="156"/>
        <v>Данные не заполены</v>
      </c>
      <c r="X1451" s="14" t="str">
        <f t="shared" si="154"/>
        <v>Данные не заполены</v>
      </c>
      <c r="Y1451" s="15">
        <f t="shared" si="155"/>
        <v>0</v>
      </c>
    </row>
    <row r="1452" hidden="1">
      <c r="A1452" s="7">
        <v>44118.8319190162</v>
      </c>
      <c r="B1452" s="8" t="s">
        <v>89</v>
      </c>
      <c r="C1452" s="8">
        <v>22011.0</v>
      </c>
      <c r="D1452" s="8" t="s">
        <v>27</v>
      </c>
      <c r="E1452" s="8" t="s">
        <v>109</v>
      </c>
      <c r="G1452" s="8">
        <v>3622.0</v>
      </c>
      <c r="H1452" s="8" t="s">
        <v>29</v>
      </c>
      <c r="I1452" s="8" t="s">
        <v>90</v>
      </c>
      <c r="L1452" s="8" t="s">
        <v>31</v>
      </c>
      <c r="M1452" s="8" t="s">
        <v>34</v>
      </c>
      <c r="P1452" s="9">
        <v>44118.0</v>
      </c>
      <c r="Q1452" s="10">
        <v>0.125</v>
      </c>
      <c r="R1452" s="11" t="str">
        <f t="shared" si="1"/>
        <v>Установка компонентов вручную</v>
      </c>
      <c r="S1452" s="16" t="str">
        <f>iferror(VLOOKUP(C1452,'ФИО'!A:B,2,0),"учётный код не найден")</f>
        <v>Сергеев Алексей Андреевич</v>
      </c>
      <c r="T1452" s="13" t="str">
        <f t="shared" si="2"/>
        <v>915-00124.A - Tioga Pass_v1.1 (Гагар.ин)</v>
      </c>
      <c r="U1452" s="8">
        <v>0.0</v>
      </c>
      <c r="V1452" s="8">
        <v>0.0</v>
      </c>
      <c r="W1452" s="17" t="str">
        <f t="shared" si="156"/>
        <v>Данные не заполены</v>
      </c>
      <c r="X1452" s="14" t="str">
        <f t="shared" si="154"/>
        <v>Данные не заполены</v>
      </c>
      <c r="Y1452" s="15">
        <f t="shared" si="155"/>
        <v>0</v>
      </c>
    </row>
    <row r="1453" hidden="1">
      <c r="A1453" s="7">
        <v>44119.82763703704</v>
      </c>
      <c r="B1453" s="8" t="s">
        <v>89</v>
      </c>
      <c r="C1453" s="8">
        <v>22011.0</v>
      </c>
      <c r="D1453" s="8" t="s">
        <v>27</v>
      </c>
      <c r="E1453" s="8" t="s">
        <v>109</v>
      </c>
      <c r="G1453" s="8">
        <v>3622.0</v>
      </c>
      <c r="H1453" s="8" t="s">
        <v>29</v>
      </c>
      <c r="I1453" s="8" t="s">
        <v>90</v>
      </c>
      <c r="L1453" s="8" t="s">
        <v>31</v>
      </c>
      <c r="M1453" s="8" t="s">
        <v>34</v>
      </c>
      <c r="P1453" s="9">
        <v>44119.0</v>
      </c>
      <c r="Q1453" s="10">
        <v>0.125</v>
      </c>
      <c r="R1453" s="11" t="str">
        <f t="shared" si="1"/>
        <v>Установка компонентов вручную</v>
      </c>
      <c r="S1453" s="16" t="str">
        <f>iferror(VLOOKUP(C1453,'ФИО'!A:B,2,0),"учётный код не найден")</f>
        <v>Сергеев Алексей Андреевич</v>
      </c>
      <c r="T1453" s="13" t="str">
        <f t="shared" si="2"/>
        <v>915-00124.A - Tioga Pass_v1.1 (Гагар.ин)</v>
      </c>
      <c r="U1453" s="8">
        <v>0.0</v>
      </c>
      <c r="V1453" s="8">
        <v>0.0</v>
      </c>
      <c r="W1453" s="17" t="str">
        <f t="shared" si="156"/>
        <v>Данные не заполены</v>
      </c>
      <c r="X1453" s="14" t="str">
        <f t="shared" si="154"/>
        <v>Данные не заполены</v>
      </c>
      <c r="Y1453" s="15">
        <f t="shared" si="155"/>
        <v>0</v>
      </c>
    </row>
    <row r="1454" hidden="1">
      <c r="A1454" s="7">
        <v>44112.83384677084</v>
      </c>
      <c r="B1454" s="8" t="s">
        <v>26</v>
      </c>
      <c r="C1454" s="8">
        <v>21752.0</v>
      </c>
      <c r="D1454" s="8" t="s">
        <v>27</v>
      </c>
      <c r="E1454" s="8" t="s">
        <v>62</v>
      </c>
      <c r="G1454" s="8">
        <v>3726.0</v>
      </c>
      <c r="H1454" s="8" t="s">
        <v>45</v>
      </c>
      <c r="K1454" s="8" t="s">
        <v>58</v>
      </c>
      <c r="L1454" s="8" t="s">
        <v>37</v>
      </c>
      <c r="P1454" s="9">
        <v>44112.0</v>
      </c>
      <c r="Q1454" s="10">
        <v>0.020833333335758653</v>
      </c>
      <c r="R1454" s="11" t="str">
        <f t="shared" si="1"/>
        <v>ReviewStation pri</v>
      </c>
      <c r="S1454" s="16" t="str">
        <f>iferror(VLOOKUP(C1454,'ФИО'!A:B,2,0),"учётный код не найден")</f>
        <v>Егоров Александр Александрович</v>
      </c>
      <c r="T1454" s="13" t="str">
        <f t="shared" si="2"/>
        <v>ПУ метки i95</v>
      </c>
      <c r="U1454" s="8">
        <v>1484.0</v>
      </c>
      <c r="V1454" s="8">
        <v>196.0</v>
      </c>
      <c r="W1454" s="21" t="str">
        <f t="shared" si="156"/>
        <v>Данные не заполены</v>
      </c>
      <c r="X1454" s="15" t="str">
        <f t="shared" si="154"/>
        <v>Данные не заполены</v>
      </c>
      <c r="Y1454" s="15">
        <f t="shared" si="155"/>
        <v>0.1320754717</v>
      </c>
      <c r="Z1454" s="8" t="s">
        <v>64</v>
      </c>
    </row>
    <row r="1455" hidden="1">
      <c r="A1455" s="7">
        <v>44110.27737542824</v>
      </c>
      <c r="B1455" s="8" t="s">
        <v>94</v>
      </c>
      <c r="C1455" s="8">
        <v>20985.0</v>
      </c>
      <c r="D1455" s="8" t="s">
        <v>69</v>
      </c>
      <c r="F1455" s="8" t="s">
        <v>304</v>
      </c>
      <c r="G1455" s="8">
        <v>3232.0</v>
      </c>
      <c r="H1455" s="8" t="s">
        <v>29</v>
      </c>
      <c r="I1455" s="8" t="s">
        <v>63</v>
      </c>
      <c r="L1455" s="8" t="s">
        <v>31</v>
      </c>
      <c r="M1455" s="8" t="s">
        <v>34</v>
      </c>
      <c r="N1455" s="8"/>
      <c r="O1455" s="8"/>
      <c r="P1455" s="9">
        <v>44109.0</v>
      </c>
      <c r="Q1455" s="10">
        <v>0.020833333335758653</v>
      </c>
      <c r="R1455" s="11" t="str">
        <f t="shared" si="1"/>
        <v>Формовка компонетов</v>
      </c>
      <c r="S1455" s="16" t="str">
        <f>iferror(VLOOKUP(C1455,'ФИО'!A:B,2,0),"учётный код не найден")</f>
        <v>Никонорова Наталия Владимировна</v>
      </c>
      <c r="T1455" s="13" t="str">
        <f t="shared" si="2"/>
        <v>915-00103.A - ПБОК-1В АСЛБ.465285.012 (Квант)</v>
      </c>
      <c r="U1455" s="8">
        <v>27.0</v>
      </c>
      <c r="V1455" s="8">
        <v>0.0</v>
      </c>
      <c r="W1455" s="21" t="str">
        <f t="shared" si="156"/>
        <v>Данные не заполены</v>
      </c>
      <c r="X1455" s="15" t="str">
        <f t="shared" si="154"/>
        <v>Данные не заполены</v>
      </c>
      <c r="Y1455" s="15">
        <f t="shared" si="155"/>
        <v>0</v>
      </c>
    </row>
    <row r="1456" hidden="1">
      <c r="A1456" s="7">
        <v>44132.74797123842</v>
      </c>
      <c r="B1456" s="8" t="s">
        <v>127</v>
      </c>
      <c r="C1456" s="8">
        <v>20015.0</v>
      </c>
      <c r="D1456" s="8" t="s">
        <v>69</v>
      </c>
      <c r="F1456" s="8" t="s">
        <v>181</v>
      </c>
      <c r="G1456" s="8">
        <v>3237.0</v>
      </c>
      <c r="H1456" s="8" t="s">
        <v>29</v>
      </c>
      <c r="I1456" s="8" t="s">
        <v>56</v>
      </c>
      <c r="L1456" s="8" t="s">
        <v>31</v>
      </c>
      <c r="M1456" s="8" t="s">
        <v>34</v>
      </c>
      <c r="P1456" s="9">
        <v>44132.0</v>
      </c>
      <c r="Q1456" s="10">
        <v>0.04166666666424135</v>
      </c>
      <c r="R1456" s="11" t="str">
        <f t="shared" si="1"/>
        <v>Написание программы для АОИ SEC</v>
      </c>
      <c r="S1456" s="16" t="str">
        <f>iferror(VLOOKUP(C1456,'ФИО'!A:B,2,0),"учётный код не найден")</f>
        <v>Ельцов Андрей Николаевич</v>
      </c>
      <c r="T1456" s="11" t="str">
        <f t="shared" si="2"/>
        <v>915-00098.А - ПКБУИК-38 АСЛБ.465122.020 (Квант)</v>
      </c>
      <c r="U1456" s="8">
        <v>0.0</v>
      </c>
      <c r="V1456" s="8">
        <v>0.0</v>
      </c>
      <c r="W1456" s="17" t="str">
        <f t="shared" si="156"/>
        <v>Данные не заполены</v>
      </c>
      <c r="X1456" s="14" t="str">
        <f t="shared" si="154"/>
        <v>Данные не заполены</v>
      </c>
      <c r="Y1456" s="15">
        <f t="shared" si="155"/>
        <v>0</v>
      </c>
    </row>
    <row r="1457" hidden="1">
      <c r="A1457" s="7">
        <v>44135.70800668982</v>
      </c>
      <c r="B1457" s="8" t="s">
        <v>89</v>
      </c>
      <c r="C1457" s="8">
        <v>20015.0</v>
      </c>
      <c r="D1457" s="8" t="s">
        <v>27</v>
      </c>
      <c r="E1457" s="8" t="s">
        <v>112</v>
      </c>
      <c r="G1457" s="8">
        <v>3802.0</v>
      </c>
      <c r="H1457" s="8" t="s">
        <v>45</v>
      </c>
      <c r="K1457" s="8" t="s">
        <v>120</v>
      </c>
      <c r="L1457" s="8" t="s">
        <v>31</v>
      </c>
      <c r="M1457" s="8" t="s">
        <v>34</v>
      </c>
      <c r="P1457" s="9">
        <v>44135.0</v>
      </c>
      <c r="Q1457" s="10">
        <v>0.0034722222189884633</v>
      </c>
      <c r="R1457" s="11" t="str">
        <f t="shared" si="1"/>
        <v>Разрядка питателей Sec</v>
      </c>
      <c r="S1457" s="16" t="str">
        <f>iferror(VLOOKUP(C1457,'ФИО'!A:B,2,0),"учётный код не найден")</f>
        <v>Ельцов Андрей Николаевич</v>
      </c>
      <c r="T1457" s="13" t="str">
        <f t="shared" si="2"/>
        <v>М15ECO (900-00030.С) 910-00034.C/910-00041.C</v>
      </c>
      <c r="U1457" s="8">
        <v>10.0</v>
      </c>
      <c r="V1457" s="8">
        <v>0.0</v>
      </c>
      <c r="W1457" s="17" t="str">
        <f t="shared" si="156"/>
        <v>Данные не заполены</v>
      </c>
      <c r="X1457" s="14" t="str">
        <f t="shared" si="154"/>
        <v>Данные не заполены</v>
      </c>
      <c r="Y1457" s="15">
        <f t="shared" si="155"/>
        <v>0</v>
      </c>
    </row>
    <row r="1458" hidden="1">
      <c r="A1458" s="7">
        <v>44130.78072430556</v>
      </c>
      <c r="B1458" s="8" t="s">
        <v>87</v>
      </c>
      <c r="C1458" s="8">
        <v>20985.0</v>
      </c>
      <c r="D1458" s="8" t="s">
        <v>69</v>
      </c>
      <c r="F1458" s="8" t="s">
        <v>304</v>
      </c>
      <c r="G1458" s="8">
        <v>3252.0</v>
      </c>
      <c r="H1458" s="8" t="s">
        <v>29</v>
      </c>
      <c r="I1458" s="8" t="s">
        <v>96</v>
      </c>
      <c r="L1458" s="8" t="s">
        <v>31</v>
      </c>
      <c r="M1458" s="8" t="s">
        <v>34</v>
      </c>
      <c r="P1458" s="9">
        <v>44130.0</v>
      </c>
      <c r="Q1458" s="10">
        <v>0.013888888890505768</v>
      </c>
      <c r="R1458" s="11" t="str">
        <f t="shared" si="1"/>
        <v>Формовка компонетов</v>
      </c>
      <c r="S1458" s="12" t="str">
        <f>iferror(VLOOKUP(C1458,'ФИО'!A:B,2,0),"учётный код не найден")</f>
        <v>Никонорова Наталия Владимировна</v>
      </c>
      <c r="T1458" s="13" t="str">
        <f t="shared" si="2"/>
        <v>915-00096.A - ПКД-8В-2 АСЛБ.467249.109</v>
      </c>
      <c r="U1458" s="8">
        <v>18.0</v>
      </c>
      <c r="V1458" s="8">
        <v>0.0</v>
      </c>
      <c r="W1458" s="17" t="str">
        <f t="shared" si="156"/>
        <v>Данные не заполены</v>
      </c>
      <c r="X1458" s="14" t="str">
        <f t="shared" si="154"/>
        <v>Данные не заполены</v>
      </c>
      <c r="Y1458" s="15">
        <f t="shared" si="155"/>
        <v>0</v>
      </c>
    </row>
    <row r="1459" hidden="1">
      <c r="A1459" s="7">
        <v>44130.78607636574</v>
      </c>
      <c r="B1459" s="8" t="s">
        <v>87</v>
      </c>
      <c r="C1459" s="8">
        <v>20985.0</v>
      </c>
      <c r="D1459" s="8" t="s">
        <v>69</v>
      </c>
      <c r="F1459" s="8" t="s">
        <v>304</v>
      </c>
      <c r="G1459" s="8">
        <v>3253.0</v>
      </c>
      <c r="H1459" s="8" t="s">
        <v>29</v>
      </c>
      <c r="I1459" s="8" t="s">
        <v>95</v>
      </c>
      <c r="L1459" s="8" t="s">
        <v>31</v>
      </c>
      <c r="M1459" s="8" t="s">
        <v>34</v>
      </c>
      <c r="P1459" s="9">
        <v>44130.0</v>
      </c>
      <c r="Q1459" s="10">
        <v>0.08333333333575865</v>
      </c>
      <c r="R1459" s="11" t="str">
        <f t="shared" si="1"/>
        <v>Формовка компонетов</v>
      </c>
      <c r="S1459" s="12" t="str">
        <f>iferror(VLOOKUP(C1459,'ФИО'!A:B,2,0),"учётный код не найден")</f>
        <v>Никонорова Наталия Владимировна</v>
      </c>
      <c r="T1459" s="13" t="str">
        <f t="shared" si="2"/>
        <v>915-00095.A - ПКД-8В-1 АСЛБ.467249.108 (Квант)</v>
      </c>
      <c r="U1459" s="8">
        <v>46.0</v>
      </c>
      <c r="V1459" s="8">
        <v>0.0</v>
      </c>
      <c r="W1459" s="17" t="str">
        <f t="shared" si="156"/>
        <v>Данные не заполены</v>
      </c>
      <c r="X1459" s="14" t="str">
        <f t="shared" si="154"/>
        <v>Данные не заполены</v>
      </c>
      <c r="Y1459" s="15">
        <f t="shared" si="155"/>
        <v>0</v>
      </c>
    </row>
    <row r="1460" hidden="1">
      <c r="A1460" s="7">
        <v>44131.830553657404</v>
      </c>
      <c r="B1460" s="8" t="s">
        <v>87</v>
      </c>
      <c r="C1460" s="8">
        <v>21928.0</v>
      </c>
      <c r="D1460" s="8" t="s">
        <v>69</v>
      </c>
      <c r="F1460" s="8" t="s">
        <v>304</v>
      </c>
      <c r="G1460" s="8">
        <v>3253.0</v>
      </c>
      <c r="H1460" s="8" t="s">
        <v>29</v>
      </c>
      <c r="I1460" s="8" t="s">
        <v>63</v>
      </c>
      <c r="L1460" s="8" t="s">
        <v>31</v>
      </c>
      <c r="M1460" s="8" t="s">
        <v>34</v>
      </c>
      <c r="P1460" s="9">
        <v>44131.0</v>
      </c>
      <c r="Q1460" s="10">
        <v>0.027777777781011537</v>
      </c>
      <c r="R1460" s="11" t="str">
        <f t="shared" si="1"/>
        <v>Формовка компонетов</v>
      </c>
      <c r="S1460" s="12" t="str">
        <f>iferror(VLOOKUP(C1460,'ФИО'!A:B,2,0),"учётный код не найден")</f>
        <v>Савченко Виктория Андреевна</v>
      </c>
      <c r="T1460" s="13" t="str">
        <f t="shared" si="2"/>
        <v>915-00103.A - ПБОК-1В АСЛБ.465285.012 (Квант)</v>
      </c>
      <c r="U1460" s="8">
        <v>0.0</v>
      </c>
      <c r="V1460" s="8">
        <v>0.0</v>
      </c>
      <c r="W1460" s="17" t="str">
        <f t="shared" si="156"/>
        <v>Данные не заполены</v>
      </c>
      <c r="X1460" s="14" t="str">
        <f t="shared" si="154"/>
        <v>Данные не заполены</v>
      </c>
      <c r="Y1460" s="15">
        <f t="shared" si="155"/>
        <v>0</v>
      </c>
    </row>
    <row r="1461" hidden="1">
      <c r="A1461" s="7">
        <v>44107.306320104166</v>
      </c>
      <c r="B1461" s="8" t="s">
        <v>76</v>
      </c>
      <c r="C1461" s="8">
        <v>21954.0</v>
      </c>
      <c r="D1461" s="8" t="s">
        <v>27</v>
      </c>
      <c r="E1461" s="8" t="s">
        <v>62</v>
      </c>
      <c r="G1461" s="8">
        <v>3579.0</v>
      </c>
      <c r="H1461" s="8" t="s">
        <v>29</v>
      </c>
      <c r="I1461" s="8" t="s">
        <v>42</v>
      </c>
      <c r="L1461" s="8" t="s">
        <v>37</v>
      </c>
      <c r="M1461" s="8" t="s">
        <v>34</v>
      </c>
      <c r="N1461" s="8"/>
      <c r="O1461" s="8"/>
      <c r="P1461" s="9">
        <v>44106.0</v>
      </c>
      <c r="Q1461" s="10">
        <v>0.04166666666424135</v>
      </c>
      <c r="R1461" s="13" t="str">
        <f t="shared" si="1"/>
        <v>ReviewStation pri</v>
      </c>
      <c r="S1461" s="16" t="str">
        <f>iferror(VLOOKUP(C1461,'ФИО'!A:B,2,0),"учётный код не найден")</f>
        <v>Александров Александр Викторович</v>
      </c>
      <c r="T1461" s="13" t="str">
        <f t="shared" si="2"/>
        <v>915-00070.A - Модуль телематики ТМ1 v3 (Сознательные машины)</v>
      </c>
      <c r="U1461" s="8">
        <v>33.0</v>
      </c>
      <c r="V1461" s="8">
        <v>162.0</v>
      </c>
      <c r="W1461" s="21" t="str">
        <f t="shared" si="156"/>
        <v>Данные не заполены</v>
      </c>
      <c r="X1461" s="15" t="str">
        <f t="shared" si="154"/>
        <v>Данные не заполены</v>
      </c>
      <c r="Y1461" s="15">
        <f t="shared" si="155"/>
        <v>4.909090909</v>
      </c>
      <c r="Z1461" s="8" t="s">
        <v>83</v>
      </c>
    </row>
    <row r="1462" hidden="1">
      <c r="A1462" s="7">
        <v>44110.31384743056</v>
      </c>
      <c r="B1462" s="8" t="s">
        <v>94</v>
      </c>
      <c r="C1462" s="8">
        <v>22131.0</v>
      </c>
      <c r="D1462" s="8" t="s">
        <v>27</v>
      </c>
      <c r="E1462" s="8" t="s">
        <v>62</v>
      </c>
      <c r="G1462" s="8">
        <v>3233.0</v>
      </c>
      <c r="H1462" s="8" t="s">
        <v>29</v>
      </c>
      <c r="I1462" s="8" t="s">
        <v>60</v>
      </c>
      <c r="L1462" s="8" t="s">
        <v>31</v>
      </c>
      <c r="M1462" s="8" t="s">
        <v>34</v>
      </c>
      <c r="N1462" s="8"/>
      <c r="O1462" s="8"/>
      <c r="P1462" s="9">
        <v>44109.0</v>
      </c>
      <c r="Q1462" s="10">
        <v>0.04166666666424135</v>
      </c>
      <c r="R1462" s="11" t="str">
        <f t="shared" si="1"/>
        <v>ReviewStation pri</v>
      </c>
      <c r="S1462" s="16" t="str">
        <f>iferror(VLOOKUP(C1462,'ФИО'!A:B,2,0),"учётный код не найден")</f>
        <v>Стосик Степан Владимирович</v>
      </c>
      <c r="T1462" s="13" t="str">
        <f t="shared" si="2"/>
        <v>915-00102.A - ПБОК-2В АСЛБ.465285.013 (Квант)</v>
      </c>
      <c r="U1462" s="8">
        <v>0.0</v>
      </c>
      <c r="V1462" s="8">
        <v>0.0</v>
      </c>
      <c r="W1462" s="21" t="str">
        <f t="shared" si="156"/>
        <v>Данные не заполены</v>
      </c>
      <c r="X1462" s="15" t="str">
        <f t="shared" si="154"/>
        <v>Данные не заполены</v>
      </c>
      <c r="Y1462" s="15">
        <f t="shared" si="155"/>
        <v>0</v>
      </c>
    </row>
    <row r="1463" hidden="1">
      <c r="A1463" s="7">
        <v>44111.30238821759</v>
      </c>
      <c r="B1463" s="8" t="s">
        <v>94</v>
      </c>
      <c r="C1463" s="8">
        <v>22131.0</v>
      </c>
      <c r="D1463" s="8" t="s">
        <v>27</v>
      </c>
      <c r="E1463" s="8" t="s">
        <v>62</v>
      </c>
      <c r="G1463" s="8">
        <v>3234.0</v>
      </c>
      <c r="H1463" s="8" t="s">
        <v>29</v>
      </c>
      <c r="I1463" s="8" t="s">
        <v>135</v>
      </c>
      <c r="L1463" s="8" t="s">
        <v>37</v>
      </c>
      <c r="P1463" s="9">
        <v>44110.0</v>
      </c>
      <c r="Q1463" s="10">
        <v>0.020833333335758653</v>
      </c>
      <c r="R1463" s="11" t="str">
        <f t="shared" si="1"/>
        <v>ReviewStation pri</v>
      </c>
      <c r="S1463" s="16" t="str">
        <f>iferror(VLOOKUP(C1463,'ФИО'!A:B,2,0),"учётный код не найден")</f>
        <v>Стосик Степан Владимирович</v>
      </c>
      <c r="T1463" s="13" t="str">
        <f t="shared" si="2"/>
        <v>915-00101.A - ПКД-9В АСЛБ.467249.107 (Квант)</v>
      </c>
      <c r="U1463" s="8">
        <v>0.0</v>
      </c>
      <c r="V1463" s="8">
        <v>0.0</v>
      </c>
      <c r="W1463" s="21" t="str">
        <f t="shared" si="156"/>
        <v>Данные не заполены</v>
      </c>
      <c r="X1463" s="15" t="str">
        <f t="shared" si="154"/>
        <v>Данные не заполены</v>
      </c>
      <c r="Y1463" s="15">
        <f t="shared" si="155"/>
        <v>0</v>
      </c>
    </row>
    <row r="1464" hidden="1">
      <c r="A1464" s="7">
        <v>44111.33573553241</v>
      </c>
      <c r="B1464" s="8" t="s">
        <v>94</v>
      </c>
      <c r="C1464" s="8">
        <v>21426.0</v>
      </c>
      <c r="D1464" s="8" t="s">
        <v>27</v>
      </c>
      <c r="E1464" s="8" t="s">
        <v>62</v>
      </c>
      <c r="G1464" s="8">
        <v>3234.0</v>
      </c>
      <c r="H1464" s="8" t="s">
        <v>29</v>
      </c>
      <c r="I1464" s="8" t="s">
        <v>135</v>
      </c>
      <c r="L1464" s="8" t="s">
        <v>31</v>
      </c>
      <c r="M1464" s="8" t="s">
        <v>34</v>
      </c>
      <c r="N1464" s="8"/>
      <c r="O1464" s="8"/>
      <c r="P1464" s="9">
        <v>44110.0</v>
      </c>
      <c r="Q1464" s="10">
        <v>0.06944444444525288</v>
      </c>
      <c r="R1464" s="11" t="str">
        <f t="shared" si="1"/>
        <v>ReviewStation pri</v>
      </c>
      <c r="S1464" s="16" t="str">
        <f>iferror(VLOOKUP(C1464,'ФИО'!A:B,2,0),"учётный код не найден")</f>
        <v>Скибинский Антон Германович</v>
      </c>
      <c r="T1464" s="13" t="str">
        <f t="shared" si="2"/>
        <v>915-00101.A - ПКД-9В АСЛБ.467249.107 (Квант)</v>
      </c>
      <c r="U1464" s="8">
        <v>0.0</v>
      </c>
      <c r="V1464" s="8">
        <v>0.0</v>
      </c>
      <c r="W1464" s="21" t="str">
        <f t="shared" si="156"/>
        <v>Данные не заполены</v>
      </c>
      <c r="X1464" s="15" t="str">
        <f t="shared" si="154"/>
        <v>Данные не заполены</v>
      </c>
      <c r="Y1464" s="15">
        <f t="shared" si="155"/>
        <v>0</v>
      </c>
    </row>
    <row r="1465" hidden="1">
      <c r="A1465" s="7">
        <v>44132.32054961806</v>
      </c>
      <c r="B1465" s="8" t="s">
        <v>38</v>
      </c>
      <c r="C1465" s="8">
        <v>60000.0</v>
      </c>
      <c r="D1465" s="8" t="s">
        <v>69</v>
      </c>
      <c r="F1465" s="8" t="s">
        <v>72</v>
      </c>
      <c r="G1465" s="8">
        <v>3253.0</v>
      </c>
      <c r="H1465" s="8" t="s">
        <v>29</v>
      </c>
      <c r="I1465" s="8" t="s">
        <v>95</v>
      </c>
      <c r="L1465" s="8" t="s">
        <v>37</v>
      </c>
      <c r="N1465" s="8">
        <v>1.0</v>
      </c>
      <c r="O1465" s="8">
        <v>100.0</v>
      </c>
      <c r="P1465" s="9">
        <v>44131.0</v>
      </c>
      <c r="Q1465" s="10">
        <v>0.125</v>
      </c>
      <c r="R1465" s="11" t="str">
        <f t="shared" si="1"/>
        <v>Пайка компонентов PRI</v>
      </c>
      <c r="S1465" s="12" t="str">
        <f>iferror(VLOOKUP(C1465,'ФИО'!A:B,2,0),"учётный код не найден")</f>
        <v>THT</v>
      </c>
      <c r="T1465" s="13" t="str">
        <f t="shared" si="2"/>
        <v>915-00095.A - ПКД-8В-1 АСЛБ.467249.108 (Квант)</v>
      </c>
      <c r="U1465" s="8">
        <v>51.0</v>
      </c>
      <c r="V1465" s="8">
        <v>0.0</v>
      </c>
      <c r="W1465" s="8">
        <v>336.0</v>
      </c>
      <c r="X1465" s="14">
        <f t="shared" si="154"/>
        <v>0.556547619</v>
      </c>
      <c r="Y1465" s="15">
        <f t="shared" si="155"/>
        <v>0</v>
      </c>
      <c r="Z1465" s="8" t="s">
        <v>306</v>
      </c>
    </row>
    <row r="1466" hidden="1">
      <c r="A1466" s="7">
        <v>44132.343408437504</v>
      </c>
      <c r="B1466" s="8" t="s">
        <v>38</v>
      </c>
      <c r="C1466" s="8">
        <v>22087.0</v>
      </c>
      <c r="D1466" s="8" t="s">
        <v>27</v>
      </c>
      <c r="E1466" s="8" t="s">
        <v>67</v>
      </c>
      <c r="G1466" s="8">
        <v>3621.0</v>
      </c>
      <c r="H1466" s="8" t="s">
        <v>29</v>
      </c>
      <c r="I1466" s="8" t="s">
        <v>54</v>
      </c>
      <c r="L1466" s="8" t="s">
        <v>37</v>
      </c>
      <c r="N1466" s="8">
        <v>1.0</v>
      </c>
      <c r="P1466" s="9">
        <v>44131.0</v>
      </c>
      <c r="Q1466" s="10">
        <v>0.39236111110949423</v>
      </c>
      <c r="R1466" s="11" t="str">
        <f t="shared" si="1"/>
        <v>Сборка на линии Prim</v>
      </c>
      <c r="S1466" s="28" t="s">
        <v>27</v>
      </c>
      <c r="T1466" s="13" t="str">
        <f t="shared" si="2"/>
        <v>915-00121.A - Процессорный модуль РСЕН.469555.027 (КНС Групп)</v>
      </c>
      <c r="U1466" s="8">
        <v>40.0</v>
      </c>
      <c r="V1466" s="8">
        <v>0.0</v>
      </c>
      <c r="X1466" s="14" t="str">
        <f t="shared" si="154"/>
        <v>Данные не заполены</v>
      </c>
      <c r="Y1466" s="15">
        <f t="shared" si="155"/>
        <v>0</v>
      </c>
    </row>
    <row r="1467" hidden="1">
      <c r="A1467" s="7">
        <v>44111.8190016088</v>
      </c>
      <c r="B1467" s="8" t="s">
        <v>89</v>
      </c>
      <c r="C1467" s="8">
        <v>21954.0</v>
      </c>
      <c r="D1467" s="8" t="s">
        <v>27</v>
      </c>
      <c r="E1467" s="8" t="s">
        <v>62</v>
      </c>
      <c r="G1467" s="8">
        <v>3726.0</v>
      </c>
      <c r="H1467" s="8" t="s">
        <v>45</v>
      </c>
      <c r="K1467" s="8" t="s">
        <v>58</v>
      </c>
      <c r="L1467" s="8" t="s">
        <v>37</v>
      </c>
      <c r="P1467" s="9">
        <v>44111.0</v>
      </c>
      <c r="Q1467" s="10">
        <v>0.0625</v>
      </c>
      <c r="R1467" s="11" t="str">
        <f t="shared" si="1"/>
        <v>ReviewStation pri</v>
      </c>
      <c r="S1467" s="16" t="str">
        <f>iferror(VLOOKUP(C1467,'ФИО'!A:B,2,0),"учётный код не найден")</f>
        <v>Александров Александр Викторович</v>
      </c>
      <c r="T1467" s="13" t="str">
        <f t="shared" si="2"/>
        <v>ПУ метки i95</v>
      </c>
      <c r="U1467" s="8">
        <v>0.0</v>
      </c>
      <c r="V1467" s="8">
        <v>43.0</v>
      </c>
      <c r="W1467" s="21" t="str">
        <f t="shared" ref="W1467:W1477" si="157">IFERROR((((38412/(ifs(O1467&lt;35,35,O1467&gt;34,O1467)/N1467)*0.7))),"Данные не заполены")</f>
        <v>Данные не заполены</v>
      </c>
      <c r="X1467" s="15" t="str">
        <f t="shared" si="154"/>
        <v>Данные не заполены</v>
      </c>
      <c r="Y1467" s="15">
        <f t="shared" si="155"/>
        <v>43</v>
      </c>
      <c r="Z1467" s="8" t="s">
        <v>307</v>
      </c>
    </row>
    <row r="1468" hidden="1">
      <c r="A1468" s="7">
        <v>44111.819478935184</v>
      </c>
      <c r="B1468" s="8" t="s">
        <v>89</v>
      </c>
      <c r="C1468" s="8">
        <v>21954.0</v>
      </c>
      <c r="D1468" s="8" t="s">
        <v>27</v>
      </c>
      <c r="E1468" s="8" t="s">
        <v>62</v>
      </c>
      <c r="G1468" s="8">
        <v>3234.0</v>
      </c>
      <c r="H1468" s="8" t="s">
        <v>29</v>
      </c>
      <c r="I1468" s="8" t="s">
        <v>135</v>
      </c>
      <c r="L1468" s="8" t="s">
        <v>37</v>
      </c>
      <c r="P1468" s="9">
        <v>44111.0</v>
      </c>
      <c r="Q1468" s="10">
        <v>0.0625</v>
      </c>
      <c r="R1468" s="11" t="str">
        <f t="shared" si="1"/>
        <v>ReviewStation pri</v>
      </c>
      <c r="S1468" s="16" t="str">
        <f>iferror(VLOOKUP(C1468,'ФИО'!A:B,2,0),"учётный код не найден")</f>
        <v>Александров Александр Викторович</v>
      </c>
      <c r="T1468" s="13" t="str">
        <f t="shared" si="2"/>
        <v>915-00101.A - ПКД-9В АСЛБ.467249.107 (Квант)</v>
      </c>
      <c r="U1468" s="8">
        <v>0.0</v>
      </c>
      <c r="V1468" s="8">
        <v>25.0</v>
      </c>
      <c r="W1468" s="21" t="str">
        <f t="shared" si="157"/>
        <v>Данные не заполены</v>
      </c>
      <c r="X1468" s="15" t="str">
        <f t="shared" si="154"/>
        <v>Данные не заполены</v>
      </c>
      <c r="Y1468" s="15">
        <f t="shared" si="155"/>
        <v>25</v>
      </c>
      <c r="Z1468" s="8" t="s">
        <v>308</v>
      </c>
    </row>
    <row r="1469" hidden="1">
      <c r="A1469" s="7">
        <v>44114.80053673611</v>
      </c>
      <c r="B1469" s="8" t="s">
        <v>87</v>
      </c>
      <c r="C1469" s="8">
        <v>22131.0</v>
      </c>
      <c r="D1469" s="8" t="s">
        <v>27</v>
      </c>
      <c r="E1469" s="8" t="s">
        <v>62</v>
      </c>
      <c r="G1469" s="8">
        <v>3750.0</v>
      </c>
      <c r="H1469" s="8" t="s">
        <v>45</v>
      </c>
      <c r="K1469" s="8" t="s">
        <v>46</v>
      </c>
      <c r="L1469" s="8" t="s">
        <v>37</v>
      </c>
      <c r="P1469" s="9">
        <v>44114.0</v>
      </c>
      <c r="Q1469" s="10">
        <v>0.10416666666666667</v>
      </c>
      <c r="R1469" s="11" t="str">
        <f t="shared" si="1"/>
        <v>ReviewStation pri</v>
      </c>
      <c r="S1469" s="16" t="str">
        <f>iferror(VLOOKUP(C1469,'ФИО'!A:B,2,0),"учётный код не найден")</f>
        <v>Стосик Степан Владимирович</v>
      </c>
      <c r="T1469" s="13" t="str">
        <f t="shared" si="2"/>
        <v>ПУ 910-00349.A "Печатный узел основного блока E96 4LIN"</v>
      </c>
      <c r="U1469" s="8">
        <v>0.0</v>
      </c>
      <c r="V1469" s="8">
        <v>0.0</v>
      </c>
      <c r="W1469" s="21" t="str">
        <f t="shared" si="157"/>
        <v>Данные не заполены</v>
      </c>
      <c r="X1469" s="15" t="str">
        <f t="shared" si="154"/>
        <v>Данные не заполены</v>
      </c>
      <c r="Y1469" s="15">
        <f t="shared" si="155"/>
        <v>0</v>
      </c>
    </row>
    <row r="1470" hidden="1">
      <c r="A1470" s="7">
        <v>44114.819021944444</v>
      </c>
      <c r="B1470" s="8" t="s">
        <v>87</v>
      </c>
      <c r="C1470" s="8">
        <v>20985.0</v>
      </c>
      <c r="D1470" s="8" t="s">
        <v>27</v>
      </c>
      <c r="E1470" s="8" t="s">
        <v>62</v>
      </c>
      <c r="G1470" s="8">
        <v>3750.0</v>
      </c>
      <c r="H1470" s="8" t="s">
        <v>45</v>
      </c>
      <c r="K1470" s="8" t="s">
        <v>46</v>
      </c>
      <c r="L1470" s="8" t="s">
        <v>31</v>
      </c>
      <c r="M1470" s="8" t="s">
        <v>34</v>
      </c>
      <c r="N1470" s="8"/>
      <c r="O1470" s="8"/>
      <c r="P1470" s="9">
        <v>44114.0</v>
      </c>
      <c r="Q1470" s="10">
        <v>0.04166666666424135</v>
      </c>
      <c r="R1470" s="11" t="str">
        <f t="shared" si="1"/>
        <v>ReviewStation pri</v>
      </c>
      <c r="S1470" s="16" t="str">
        <f>iferror(VLOOKUP(C1470,'ФИО'!A:B,2,0),"учётный код не найден")</f>
        <v>Никонорова Наталия Владимировна</v>
      </c>
      <c r="T1470" s="13" t="str">
        <f t="shared" si="2"/>
        <v>ПУ 910-00349.A "Печатный узел основного блока E96 4LIN"</v>
      </c>
      <c r="U1470" s="8">
        <v>0.0</v>
      </c>
      <c r="V1470" s="8">
        <v>0.0</v>
      </c>
      <c r="W1470" s="21" t="str">
        <f t="shared" si="157"/>
        <v>Данные не заполены</v>
      </c>
      <c r="X1470" s="15" t="str">
        <f t="shared" si="154"/>
        <v>Данные не заполены</v>
      </c>
      <c r="Y1470" s="15">
        <f t="shared" si="155"/>
        <v>0</v>
      </c>
    </row>
    <row r="1471" hidden="1">
      <c r="A1471" s="7">
        <v>44115.3173114699</v>
      </c>
      <c r="B1471" s="8" t="s">
        <v>76</v>
      </c>
      <c r="C1471" s="8">
        <v>21954.0</v>
      </c>
      <c r="D1471" s="8" t="s">
        <v>27</v>
      </c>
      <c r="E1471" s="8" t="s">
        <v>62</v>
      </c>
      <c r="G1471" s="8">
        <v>3750.0</v>
      </c>
      <c r="H1471" s="8" t="s">
        <v>45</v>
      </c>
      <c r="K1471" s="8" t="s">
        <v>46</v>
      </c>
      <c r="L1471" s="8" t="s">
        <v>37</v>
      </c>
      <c r="P1471" s="9">
        <v>44114.0</v>
      </c>
      <c r="Q1471" s="10">
        <v>0.20833333333575865</v>
      </c>
      <c r="R1471" s="11" t="str">
        <f t="shared" si="1"/>
        <v>ReviewStation pri</v>
      </c>
      <c r="S1471" s="16" t="str">
        <f>iferror(VLOOKUP(C1471,'ФИО'!A:B,2,0),"учётный код не найден")</f>
        <v>Александров Александр Викторович</v>
      </c>
      <c r="T1471" s="13" t="str">
        <f t="shared" si="2"/>
        <v>ПУ 910-00349.A "Печатный узел основного блока E96 4LIN"</v>
      </c>
      <c r="U1471" s="8">
        <v>28.0</v>
      </c>
      <c r="V1471" s="8">
        <v>560.0</v>
      </c>
      <c r="W1471" s="21" t="str">
        <f t="shared" si="157"/>
        <v>Данные не заполены</v>
      </c>
      <c r="X1471" s="15" t="str">
        <f t="shared" si="154"/>
        <v>Данные не заполены</v>
      </c>
      <c r="Y1471" s="15">
        <f t="shared" si="155"/>
        <v>20</v>
      </c>
      <c r="Z1471" s="29" t="s">
        <v>270</v>
      </c>
    </row>
    <row r="1472" hidden="1">
      <c r="A1472" s="7">
        <v>44126.82703693287</v>
      </c>
      <c r="B1472" s="8" t="s">
        <v>89</v>
      </c>
      <c r="C1472" s="8">
        <v>21504.0</v>
      </c>
      <c r="D1472" s="8" t="s">
        <v>27</v>
      </c>
      <c r="E1472" s="8" t="s">
        <v>62</v>
      </c>
      <c r="G1472" s="8">
        <v>3253.0</v>
      </c>
      <c r="H1472" s="8" t="s">
        <v>29</v>
      </c>
      <c r="I1472" s="8" t="s">
        <v>95</v>
      </c>
      <c r="L1472" s="8" t="s">
        <v>31</v>
      </c>
      <c r="M1472" s="8" t="s">
        <v>34</v>
      </c>
      <c r="P1472" s="9">
        <v>44126.0</v>
      </c>
      <c r="Q1472" s="10">
        <v>0.25</v>
      </c>
      <c r="R1472" s="11" t="str">
        <f t="shared" si="1"/>
        <v>ReviewStation pri</v>
      </c>
      <c r="S1472" s="16" t="str">
        <f>iferror(VLOOKUP(C1472,'ФИО'!A:B,2,0),"учётный код не найден")</f>
        <v>Александрова Елена Сергеевна</v>
      </c>
      <c r="T1472" s="13" t="str">
        <f t="shared" si="2"/>
        <v>915-00095.A - ПКД-8В-1 АСЛБ.467249.108 (Квант)</v>
      </c>
      <c r="U1472" s="8">
        <v>0.0</v>
      </c>
      <c r="V1472" s="8">
        <v>70.0</v>
      </c>
      <c r="W1472" s="17" t="str">
        <f t="shared" si="157"/>
        <v>Данные не заполены</v>
      </c>
      <c r="X1472" s="14" t="str">
        <f t="shared" si="154"/>
        <v>Данные не заполены</v>
      </c>
      <c r="Y1472" s="15">
        <f t="shared" si="155"/>
        <v>70</v>
      </c>
      <c r="Z1472" s="8" t="s">
        <v>271</v>
      </c>
    </row>
    <row r="1473" hidden="1">
      <c r="A1473" s="7">
        <v>44127.31387769676</v>
      </c>
      <c r="B1473" s="8" t="s">
        <v>94</v>
      </c>
      <c r="C1473" s="8">
        <v>21928.0</v>
      </c>
      <c r="D1473" s="8" t="s">
        <v>27</v>
      </c>
      <c r="E1473" s="8" t="s">
        <v>62</v>
      </c>
      <c r="G1473" s="8">
        <v>3252.0</v>
      </c>
      <c r="H1473" s="8" t="s">
        <v>29</v>
      </c>
      <c r="I1473" s="8" t="s">
        <v>96</v>
      </c>
      <c r="L1473" s="8" t="s">
        <v>37</v>
      </c>
      <c r="P1473" s="9">
        <v>44126.0</v>
      </c>
      <c r="Q1473" s="10">
        <v>0.04166666666424135</v>
      </c>
      <c r="R1473" s="11" t="str">
        <f t="shared" si="1"/>
        <v>ReviewStation pri</v>
      </c>
      <c r="S1473" s="16" t="str">
        <f>iferror(VLOOKUP(C1473,'ФИО'!A:B,2,0),"учётный код не найден")</f>
        <v>Савченко Виктория Андреевна</v>
      </c>
      <c r="T1473" s="13" t="str">
        <f t="shared" si="2"/>
        <v>915-00096.A - ПКД-8В-2 АСЛБ.467249.109</v>
      </c>
      <c r="U1473" s="8">
        <v>0.0</v>
      </c>
      <c r="V1473" s="8">
        <v>0.0</v>
      </c>
      <c r="W1473" s="17" t="str">
        <f t="shared" si="157"/>
        <v>Данные не заполены</v>
      </c>
      <c r="X1473" s="14" t="str">
        <f t="shared" si="154"/>
        <v>Данные не заполены</v>
      </c>
      <c r="Y1473" s="15">
        <f t="shared" si="155"/>
        <v>0</v>
      </c>
    </row>
    <row r="1474" hidden="1">
      <c r="A1474" s="7">
        <v>44127.31452347222</v>
      </c>
      <c r="B1474" s="8" t="s">
        <v>94</v>
      </c>
      <c r="C1474" s="8">
        <v>21928.0</v>
      </c>
      <c r="D1474" s="8" t="s">
        <v>27</v>
      </c>
      <c r="E1474" s="8" t="s">
        <v>62</v>
      </c>
      <c r="G1474" s="8">
        <v>3804.0</v>
      </c>
      <c r="H1474" s="8" t="s">
        <v>45</v>
      </c>
      <c r="K1474" s="8" t="s">
        <v>52</v>
      </c>
      <c r="L1474" s="8" t="s">
        <v>37</v>
      </c>
      <c r="P1474" s="9">
        <v>44126.0</v>
      </c>
      <c r="Q1474" s="10">
        <v>0.26388888889050577</v>
      </c>
      <c r="R1474" s="11" t="str">
        <f t="shared" si="1"/>
        <v>ReviewStation pri</v>
      </c>
      <c r="S1474" s="16" t="str">
        <f>iferror(VLOOKUP(C1474,'ФИО'!A:B,2,0),"учётный код не найден")</f>
        <v>Савченко Виктория Андреевна</v>
      </c>
      <c r="T1474" s="13" t="str">
        <f t="shared" si="2"/>
        <v>М17V2 (900-00018.D)_910-00023.H и ПУ 910-00012.I</v>
      </c>
      <c r="U1474" s="8">
        <v>0.0</v>
      </c>
      <c r="V1474" s="8">
        <v>0.0</v>
      </c>
      <c r="W1474" s="17" t="str">
        <f t="shared" si="157"/>
        <v>Данные не заполены</v>
      </c>
      <c r="X1474" s="14" t="str">
        <f t="shared" si="154"/>
        <v>Данные не заполены</v>
      </c>
      <c r="Y1474" s="15">
        <f t="shared" si="155"/>
        <v>0</v>
      </c>
    </row>
    <row r="1475" hidden="1">
      <c r="A1475" s="7">
        <v>44131.32213703704</v>
      </c>
      <c r="B1475" s="8" t="s">
        <v>76</v>
      </c>
      <c r="C1475" s="8">
        <v>21954.0</v>
      </c>
      <c r="D1475" s="8" t="s">
        <v>27</v>
      </c>
      <c r="E1475" s="8" t="s">
        <v>62</v>
      </c>
      <c r="G1475" s="8">
        <v>3793.0</v>
      </c>
      <c r="H1475" s="8" t="s">
        <v>29</v>
      </c>
      <c r="I1475" s="8" t="s">
        <v>163</v>
      </c>
      <c r="L1475" s="8" t="s">
        <v>37</v>
      </c>
      <c r="P1475" s="9">
        <v>44130.0</v>
      </c>
      <c r="Q1475" s="10">
        <v>0.04166666666424135</v>
      </c>
      <c r="R1475" s="11" t="str">
        <f t="shared" si="1"/>
        <v>ReviewStation pri</v>
      </c>
      <c r="S1475" s="12" t="str">
        <f>iferror(VLOOKUP(C1475,'ФИО'!A:B,2,0),"учётный код не найден")</f>
        <v>Александров Александр Викторович</v>
      </c>
      <c r="T1475" s="13" t="str">
        <f t="shared" si="2"/>
        <v>915-00068.A - uklsip(s)220_v3.01 (Гефест)</v>
      </c>
      <c r="U1475" s="8">
        <v>30.0</v>
      </c>
      <c r="V1475" s="8">
        <v>348.0</v>
      </c>
      <c r="W1475" s="17" t="str">
        <f t="shared" si="157"/>
        <v>Данные не заполены</v>
      </c>
      <c r="X1475" s="14" t="str">
        <f t="shared" si="154"/>
        <v>Данные не заполены</v>
      </c>
      <c r="Y1475" s="15">
        <f t="shared" si="155"/>
        <v>11.6</v>
      </c>
      <c r="Z1475" s="8" t="s">
        <v>309</v>
      </c>
    </row>
    <row r="1476" hidden="1">
      <c r="A1476" s="7">
        <v>44113.86465584491</v>
      </c>
      <c r="B1476" s="8" t="s">
        <v>26</v>
      </c>
      <c r="C1476" s="8">
        <v>21752.0</v>
      </c>
      <c r="D1476" s="8" t="s">
        <v>27</v>
      </c>
      <c r="E1476" s="8" t="s">
        <v>62</v>
      </c>
      <c r="G1476" s="8">
        <v>3238.0</v>
      </c>
      <c r="H1476" s="8" t="s">
        <v>29</v>
      </c>
      <c r="I1476" s="8" t="s">
        <v>135</v>
      </c>
      <c r="L1476" s="8" t="s">
        <v>37</v>
      </c>
      <c r="P1476" s="9">
        <v>44113.0</v>
      </c>
      <c r="Q1476" s="10">
        <v>0.10416666666424135</v>
      </c>
      <c r="R1476" s="11" t="str">
        <f t="shared" si="1"/>
        <v>ReviewStation pri</v>
      </c>
      <c r="S1476" s="16" t="str">
        <f>iferror(VLOOKUP(C1476,'ФИО'!A:B,2,0),"учётный код не найден")</f>
        <v>Егоров Александр Александрович</v>
      </c>
      <c r="T1476" s="13" t="str">
        <f t="shared" si="2"/>
        <v>915-00101.A - ПКД-9В АСЛБ.467249.107 (Квант)</v>
      </c>
      <c r="U1476" s="8">
        <v>0.0</v>
      </c>
      <c r="V1476" s="8">
        <v>0.0</v>
      </c>
      <c r="W1476" s="21" t="str">
        <f t="shared" si="157"/>
        <v>Данные не заполены</v>
      </c>
      <c r="X1476" s="15" t="str">
        <f t="shared" si="154"/>
        <v>Данные не заполены</v>
      </c>
      <c r="Y1476" s="15">
        <f t="shared" si="155"/>
        <v>0</v>
      </c>
    </row>
    <row r="1477" hidden="1">
      <c r="A1477" s="7">
        <v>44107.30674724537</v>
      </c>
      <c r="B1477" s="8" t="s">
        <v>76</v>
      </c>
      <c r="C1477" s="8">
        <v>21954.0</v>
      </c>
      <c r="D1477" s="8" t="s">
        <v>27</v>
      </c>
      <c r="E1477" s="8" t="s">
        <v>244</v>
      </c>
      <c r="G1477" s="8">
        <v>3579.0</v>
      </c>
      <c r="H1477" s="8" t="s">
        <v>29</v>
      </c>
      <c r="I1477" s="8" t="s">
        <v>42</v>
      </c>
      <c r="L1477" s="8" t="s">
        <v>37</v>
      </c>
      <c r="M1477" s="8" t="s">
        <v>34</v>
      </c>
      <c r="N1477" s="8"/>
      <c r="O1477" s="8"/>
      <c r="P1477" s="9">
        <v>44106.0</v>
      </c>
      <c r="Q1477" s="10">
        <v>0.29166666666424135</v>
      </c>
      <c r="R1477" s="13" t="str">
        <f t="shared" si="1"/>
        <v>ReviewStation sec</v>
      </c>
      <c r="S1477" s="16" t="str">
        <f>iferror(VLOOKUP(C1477,'ФИО'!A:B,2,0),"учётный код не найден")</f>
        <v>Александров Александр Викторович</v>
      </c>
      <c r="T1477" s="13" t="str">
        <f t="shared" si="2"/>
        <v>915-00070.A - Модуль телематики ТМ1 v3 (Сознательные машины)</v>
      </c>
      <c r="U1477" s="8">
        <v>96.0</v>
      </c>
      <c r="V1477" s="8">
        <v>609.0</v>
      </c>
      <c r="W1477" s="21" t="str">
        <f t="shared" si="157"/>
        <v>Данные не заполены</v>
      </c>
      <c r="X1477" s="15" t="str">
        <f t="shared" si="154"/>
        <v>Данные не заполены</v>
      </c>
      <c r="Y1477" s="15">
        <f t="shared" si="155"/>
        <v>6.34375</v>
      </c>
      <c r="Z1477" s="27" t="s">
        <v>273</v>
      </c>
    </row>
    <row r="1478" hidden="1">
      <c r="A1478" s="7">
        <v>44129.82392054398</v>
      </c>
      <c r="B1478" s="8" t="s">
        <v>26</v>
      </c>
      <c r="C1478" s="8">
        <v>21803.0</v>
      </c>
      <c r="D1478" s="8" t="s">
        <v>27</v>
      </c>
      <c r="E1478" s="8" t="s">
        <v>244</v>
      </c>
      <c r="G1478" s="8">
        <v>3804.0</v>
      </c>
      <c r="H1478" s="8" t="s">
        <v>45</v>
      </c>
      <c r="K1478" s="8" t="s">
        <v>52</v>
      </c>
      <c r="L1478" s="8" t="s">
        <v>31</v>
      </c>
      <c r="M1478" s="8" t="s">
        <v>34</v>
      </c>
      <c r="P1478" s="9">
        <v>44129.0</v>
      </c>
      <c r="Q1478" s="10">
        <v>0.45833333333575865</v>
      </c>
      <c r="R1478" s="11" t="str">
        <f t="shared" si="1"/>
        <v>ReviewStation sec</v>
      </c>
      <c r="S1478" s="12" t="str">
        <f>iferror(VLOOKUP(C1478,'ФИО'!A:B,2,0),"учётный код не найден")</f>
        <v>Белоглазова Виктория Сергеевна</v>
      </c>
      <c r="T1478" s="13" t="str">
        <f t="shared" si="2"/>
        <v>М17V2 (900-00018.D)_910-00023.H и ПУ 910-00012.I</v>
      </c>
      <c r="U1478" s="8">
        <v>0.0</v>
      </c>
      <c r="V1478" s="8">
        <v>4700.0</v>
      </c>
      <c r="X1478" s="14" t="str">
        <f t="shared" si="154"/>
        <v>Данные не заполены</v>
      </c>
      <c r="Y1478" s="15">
        <f t="shared" si="155"/>
        <v>4700</v>
      </c>
      <c r="Z1478" s="8" t="s">
        <v>64</v>
      </c>
    </row>
    <row r="1479" hidden="1">
      <c r="A1479" s="7">
        <v>44130.311990902774</v>
      </c>
      <c r="B1479" s="8" t="s">
        <v>76</v>
      </c>
      <c r="C1479" s="8">
        <v>21504.0</v>
      </c>
      <c r="D1479" s="8" t="s">
        <v>27</v>
      </c>
      <c r="E1479" s="8" t="s">
        <v>244</v>
      </c>
      <c r="G1479" s="8">
        <v>3804.0</v>
      </c>
      <c r="H1479" s="8" t="s">
        <v>45</v>
      </c>
      <c r="K1479" s="8" t="s">
        <v>52</v>
      </c>
      <c r="L1479" s="8" t="s">
        <v>31</v>
      </c>
      <c r="M1479" s="8" t="s">
        <v>34</v>
      </c>
      <c r="P1479" s="9">
        <v>44129.0</v>
      </c>
      <c r="Q1479" s="10">
        <v>0.27083333333575865</v>
      </c>
      <c r="R1479" s="11" t="str">
        <f t="shared" si="1"/>
        <v>ReviewStation sec</v>
      </c>
      <c r="S1479" s="12" t="str">
        <f>iferror(VLOOKUP(C1479,'ФИО'!A:B,2,0),"учётный код не найден")</f>
        <v>Александрова Елена Сергеевна</v>
      </c>
      <c r="T1479" s="13" t="str">
        <f t="shared" si="2"/>
        <v>М17V2 (900-00018.D)_910-00023.H и ПУ 910-00012.I</v>
      </c>
      <c r="U1479" s="8">
        <v>2.0</v>
      </c>
      <c r="V1479" s="8">
        <v>125.0</v>
      </c>
      <c r="W1479" s="17" t="str">
        <f t="shared" ref="W1479:W1508" si="158">IFERROR((((38412/(ifs(O1479&lt;35,35,O1479&gt;34,O1479)/N1479)*0.7))),"Данные не заполены")</f>
        <v>Данные не заполены</v>
      </c>
      <c r="X1479" s="14" t="str">
        <f t="shared" si="154"/>
        <v>Данные не заполены</v>
      </c>
      <c r="Y1479" s="15">
        <f t="shared" si="155"/>
        <v>62.5</v>
      </c>
      <c r="Z1479" s="8" t="s">
        <v>273</v>
      </c>
    </row>
    <row r="1480" hidden="1">
      <c r="A1480" s="7">
        <v>44124.625953738425</v>
      </c>
      <c r="B1480" s="8" t="s">
        <v>127</v>
      </c>
      <c r="C1480" s="8">
        <v>20015.0</v>
      </c>
      <c r="D1480" s="8" t="s">
        <v>69</v>
      </c>
      <c r="F1480" s="8" t="s">
        <v>161</v>
      </c>
      <c r="G1480" s="8">
        <v>3622.0</v>
      </c>
      <c r="H1480" s="8" t="s">
        <v>29</v>
      </c>
      <c r="I1480" s="8" t="s">
        <v>90</v>
      </c>
      <c r="L1480" s="8" t="s">
        <v>31</v>
      </c>
      <c r="M1480" s="8" t="s">
        <v>34</v>
      </c>
      <c r="P1480" s="9">
        <v>44124.0</v>
      </c>
      <c r="Q1480" s="10">
        <v>0.08333333333575865</v>
      </c>
      <c r="R1480" s="11" t="str">
        <f t="shared" si="1"/>
        <v>Написание программы для SEHO PRI</v>
      </c>
      <c r="S1480" s="16" t="str">
        <f>iferror(VLOOKUP(C1480,'ФИО'!A:B,2,0),"учётный код не найден")</f>
        <v>Ельцов Андрей Николаевич</v>
      </c>
      <c r="T1480" s="11" t="str">
        <f t="shared" si="2"/>
        <v>915-00124.A - Tioga Pass_v1.1 (Гагар.ин)</v>
      </c>
      <c r="U1480" s="8">
        <v>0.0</v>
      </c>
      <c r="V1480" s="8">
        <v>0.0</v>
      </c>
      <c r="W1480" s="17" t="str">
        <f t="shared" si="158"/>
        <v>Данные не заполены</v>
      </c>
      <c r="X1480" s="14" t="str">
        <f t="shared" si="154"/>
        <v>Данные не заполены</v>
      </c>
      <c r="Y1480" s="15">
        <f t="shared" si="155"/>
        <v>0</v>
      </c>
    </row>
    <row r="1481" hidden="1">
      <c r="A1481" s="7">
        <v>44132.75478855324</v>
      </c>
      <c r="B1481" s="8" t="s">
        <v>127</v>
      </c>
      <c r="C1481" s="8">
        <v>20015.0</v>
      </c>
      <c r="D1481" s="8" t="s">
        <v>27</v>
      </c>
      <c r="E1481" s="8" t="s">
        <v>310</v>
      </c>
      <c r="G1481" s="8">
        <v>3621.0</v>
      </c>
      <c r="H1481" s="8" t="s">
        <v>29</v>
      </c>
      <c r="I1481" s="8" t="s">
        <v>54</v>
      </c>
      <c r="L1481" s="8" t="s">
        <v>31</v>
      </c>
      <c r="M1481" s="8" t="s">
        <v>34</v>
      </c>
      <c r="P1481" s="9">
        <v>44132.0</v>
      </c>
      <c r="Q1481" s="10">
        <v>0.25</v>
      </c>
      <c r="R1481" s="11" t="str">
        <f t="shared" si="1"/>
        <v>Наращивание комплектации</v>
      </c>
      <c r="S1481" s="16" t="str">
        <f>iferror(VLOOKUP(C1481,'ФИО'!A:B,2,0),"учётный код не найден")</f>
        <v>Ельцов Андрей Николаевич</v>
      </c>
      <c r="T1481" s="11" t="str">
        <f t="shared" si="2"/>
        <v>915-00121.A - Процессорный модуль РСЕН.469555.027 (КНС Групп)</v>
      </c>
      <c r="U1481" s="8">
        <v>134.0</v>
      </c>
      <c r="V1481" s="8">
        <v>0.0</v>
      </c>
      <c r="W1481" s="17" t="str">
        <f t="shared" si="158"/>
        <v>Данные не заполены</v>
      </c>
      <c r="X1481" s="14" t="str">
        <f t="shared" si="154"/>
        <v>Данные не заполены</v>
      </c>
      <c r="Y1481" s="15">
        <f t="shared" si="155"/>
        <v>0</v>
      </c>
    </row>
    <row r="1482" hidden="1">
      <c r="A1482" s="7">
        <v>44132.81761596065</v>
      </c>
      <c r="B1482" s="8" t="s">
        <v>127</v>
      </c>
      <c r="C1482" s="8">
        <v>20015.0</v>
      </c>
      <c r="D1482" s="8" t="s">
        <v>27</v>
      </c>
      <c r="E1482" s="8" t="s">
        <v>101</v>
      </c>
      <c r="G1482" s="8">
        <v>3802.0</v>
      </c>
      <c r="H1482" s="8" t="s">
        <v>45</v>
      </c>
      <c r="K1482" s="8" t="s">
        <v>120</v>
      </c>
      <c r="L1482" s="8" t="s">
        <v>31</v>
      </c>
      <c r="M1482" s="8" t="s">
        <v>34</v>
      </c>
      <c r="P1482" s="9">
        <v>44132.0</v>
      </c>
      <c r="Q1482" s="10">
        <v>0.020833333335758653</v>
      </c>
      <c r="R1482" s="11" t="str">
        <f t="shared" si="1"/>
        <v>Настройка принтера Prim</v>
      </c>
      <c r="S1482" s="16" t="str">
        <f>iferror(VLOOKUP(C1482,'ФИО'!A:B,2,0),"учётный код не найден")</f>
        <v>Ельцов Андрей Николаевич</v>
      </c>
      <c r="T1482" s="11" t="str">
        <f t="shared" si="2"/>
        <v>М15ECO (900-00030.С) 910-00034.C/910-00041.C</v>
      </c>
      <c r="U1482" s="8">
        <v>0.0</v>
      </c>
      <c r="V1482" s="8">
        <v>0.0</v>
      </c>
      <c r="W1482" s="17" t="str">
        <f t="shared" si="158"/>
        <v>Данные не заполены</v>
      </c>
      <c r="X1482" s="14" t="str">
        <f t="shared" si="154"/>
        <v>Данные не заполены</v>
      </c>
      <c r="Y1482" s="15">
        <f t="shared" si="155"/>
        <v>0</v>
      </c>
    </row>
    <row r="1483" hidden="1">
      <c r="A1483" s="7">
        <v>44124.80597356481</v>
      </c>
      <c r="B1483" s="8" t="s">
        <v>127</v>
      </c>
      <c r="C1483" s="8">
        <v>20015.0</v>
      </c>
      <c r="D1483" s="8" t="s">
        <v>27</v>
      </c>
      <c r="E1483" s="8" t="s">
        <v>82</v>
      </c>
      <c r="G1483" s="8">
        <v>3804.0</v>
      </c>
      <c r="H1483" s="8" t="s">
        <v>45</v>
      </c>
      <c r="K1483" s="8" t="s">
        <v>52</v>
      </c>
      <c r="L1483" s="8" t="s">
        <v>31</v>
      </c>
      <c r="M1483" s="8" t="s">
        <v>34</v>
      </c>
      <c r="P1483" s="9">
        <v>44124.0</v>
      </c>
      <c r="Q1483" s="10">
        <v>0.08333333333575865</v>
      </c>
      <c r="R1483" s="11" t="str">
        <f t="shared" si="1"/>
        <v>Настройка установщиков</v>
      </c>
      <c r="S1483" s="16" t="str">
        <f>iferror(VLOOKUP(C1483,'ФИО'!A:B,2,0),"учётный код не найден")</f>
        <v>Ельцов Андрей Николаевич</v>
      </c>
      <c r="T1483" s="11" t="str">
        <f t="shared" si="2"/>
        <v>М17V2 (900-00018.D)_910-00023.H и ПУ 910-00012.I</v>
      </c>
      <c r="U1483" s="8">
        <v>0.0</v>
      </c>
      <c r="V1483" s="8">
        <v>0.0</v>
      </c>
      <c r="W1483" s="17" t="str">
        <f t="shared" si="158"/>
        <v>Данные не заполены</v>
      </c>
      <c r="X1483" s="14" t="str">
        <f t="shared" si="154"/>
        <v>Данные не заполены</v>
      </c>
      <c r="Y1483" s="15">
        <f t="shared" si="155"/>
        <v>0</v>
      </c>
    </row>
    <row r="1484" hidden="1">
      <c r="A1484" s="7">
        <v>44128.33021274305</v>
      </c>
      <c r="B1484" s="8" t="s">
        <v>126</v>
      </c>
      <c r="C1484" s="8">
        <v>50000.0</v>
      </c>
      <c r="D1484" s="8" t="s">
        <v>27</v>
      </c>
      <c r="E1484" s="8" t="s">
        <v>67</v>
      </c>
      <c r="G1484" s="8">
        <v>3621.0</v>
      </c>
      <c r="H1484" s="8" t="s">
        <v>29</v>
      </c>
      <c r="I1484" s="8" t="s">
        <v>54</v>
      </c>
      <c r="L1484" s="8" t="s">
        <v>37</v>
      </c>
      <c r="P1484" s="9">
        <v>44127.0</v>
      </c>
      <c r="Q1484" s="10">
        <v>0.0</v>
      </c>
      <c r="R1484" s="11" t="str">
        <f t="shared" si="1"/>
        <v>Сборка на линии Prim</v>
      </c>
      <c r="S1484" s="16" t="str">
        <f>iferror(VLOOKUP(C1484,'ФИО'!A:B,2,0),"учётный код не найден")</f>
        <v>SMT</v>
      </c>
      <c r="T1484" s="13" t="str">
        <f t="shared" si="2"/>
        <v>915-00121.A - Процессорный модуль РСЕН.469555.027 (КНС Групп)</v>
      </c>
      <c r="U1484" s="8">
        <v>1.0</v>
      </c>
      <c r="V1484" s="8">
        <v>0.0</v>
      </c>
      <c r="W1484" s="17" t="str">
        <f t="shared" si="158"/>
        <v>Данные не заполены</v>
      </c>
      <c r="X1484" s="14" t="str">
        <f t="shared" si="154"/>
        <v>Данные не заполены</v>
      </c>
      <c r="Y1484" s="15">
        <f t="shared" si="155"/>
        <v>0</v>
      </c>
    </row>
    <row r="1485" hidden="1">
      <c r="A1485" s="7">
        <v>44128.32126153936</v>
      </c>
      <c r="B1485" s="8" t="s">
        <v>126</v>
      </c>
      <c r="C1485" s="8">
        <v>22574.0</v>
      </c>
      <c r="D1485" s="8" t="s">
        <v>27</v>
      </c>
      <c r="E1485" s="8" t="s">
        <v>67</v>
      </c>
      <c r="G1485" s="8">
        <v>3621.0</v>
      </c>
      <c r="H1485" s="8" t="s">
        <v>29</v>
      </c>
      <c r="I1485" s="8" t="s">
        <v>30</v>
      </c>
      <c r="L1485" s="8" t="s">
        <v>37</v>
      </c>
      <c r="P1485" s="9">
        <v>44127.0</v>
      </c>
      <c r="Q1485" s="10">
        <v>0.04166666666424135</v>
      </c>
      <c r="R1485" s="11" t="str">
        <f t="shared" si="1"/>
        <v>Сборка на линии Prim</v>
      </c>
      <c r="S1485" s="16" t="str">
        <f>iferror(VLOOKUP(C1485,'ФИО'!A:B,2,0),"учётный код не найден")</f>
        <v>Шапенков Геннадий Михайлович</v>
      </c>
      <c r="T1485" s="13" t="str">
        <f t="shared" si="2"/>
        <v>915-00121.A - Процессорный модуль РСЕН.469555.027 (КНС Групп) в ТС</v>
      </c>
      <c r="U1485" s="8">
        <v>0.0</v>
      </c>
      <c r="V1485" s="8">
        <v>0.0</v>
      </c>
      <c r="W1485" s="17" t="str">
        <f t="shared" si="158"/>
        <v>Данные не заполены</v>
      </c>
      <c r="X1485" s="14" t="str">
        <f t="shared" si="154"/>
        <v>Данные не заполены</v>
      </c>
      <c r="Y1485" s="15">
        <f t="shared" si="155"/>
        <v>0</v>
      </c>
    </row>
    <row r="1486" hidden="1">
      <c r="A1486" s="7">
        <v>44116.52889984954</v>
      </c>
      <c r="B1486" s="8" t="s">
        <v>127</v>
      </c>
      <c r="C1486" s="8">
        <v>20015.0</v>
      </c>
      <c r="D1486" s="8" t="s">
        <v>69</v>
      </c>
      <c r="F1486" s="8" t="s">
        <v>106</v>
      </c>
      <c r="G1486" s="8">
        <v>3750.0</v>
      </c>
      <c r="H1486" s="8" t="s">
        <v>45</v>
      </c>
      <c r="K1486" s="8" t="s">
        <v>46</v>
      </c>
      <c r="L1486" s="8" t="s">
        <v>31</v>
      </c>
      <c r="M1486" s="8" t="s">
        <v>34</v>
      </c>
      <c r="N1486" s="8"/>
      <c r="O1486" s="8"/>
      <c r="P1486" s="9">
        <v>44116.0</v>
      </c>
      <c r="Q1486" s="10">
        <v>0.0625</v>
      </c>
      <c r="R1486" s="11" t="str">
        <f t="shared" si="1"/>
        <v>Настройка SEHO PRI</v>
      </c>
      <c r="S1486" s="16" t="str">
        <f>iferror(VLOOKUP(C1486,'ФИО'!A:B,2,0),"учётный код не найден")</f>
        <v>Ельцов Андрей Николаевич</v>
      </c>
      <c r="T1486" s="11" t="str">
        <f t="shared" si="2"/>
        <v>ПУ 910-00349.A "Печатный узел основного блока E96 4LIN"</v>
      </c>
      <c r="U1486" s="8">
        <v>0.0</v>
      </c>
      <c r="V1486" s="8">
        <v>0.0</v>
      </c>
      <c r="W1486" s="17" t="str">
        <f t="shared" si="158"/>
        <v>Данные не заполены</v>
      </c>
      <c r="X1486" s="14" t="str">
        <f t="shared" si="154"/>
        <v>Данные не заполены</v>
      </c>
      <c r="Y1486" s="15">
        <f t="shared" si="155"/>
        <v>0</v>
      </c>
    </row>
    <row r="1487" hidden="1">
      <c r="A1487" s="7">
        <v>44112.35236513889</v>
      </c>
      <c r="B1487" s="8" t="s">
        <v>126</v>
      </c>
      <c r="C1487" s="8">
        <v>22063.0</v>
      </c>
      <c r="D1487" s="8" t="s">
        <v>27</v>
      </c>
      <c r="E1487" s="8" t="s">
        <v>67</v>
      </c>
      <c r="G1487" s="8">
        <v>3580.0</v>
      </c>
      <c r="H1487" s="8" t="s">
        <v>29</v>
      </c>
      <c r="I1487" s="8" t="s">
        <v>146</v>
      </c>
      <c r="L1487" s="8" t="s">
        <v>37</v>
      </c>
      <c r="P1487" s="9">
        <v>44111.0</v>
      </c>
      <c r="Q1487" s="10">
        <v>0.16666666666424135</v>
      </c>
      <c r="R1487" s="11" t="str">
        <f t="shared" si="1"/>
        <v>Сборка на линии Prim</v>
      </c>
      <c r="S1487" s="16" t="str">
        <f>iferror(VLOOKUP(C1487,'ФИО'!A:B,2,0),"учётный код не найден")</f>
        <v>Белоглазов Сергей Анатольевич</v>
      </c>
      <c r="T1487" s="13" t="str">
        <f t="shared" si="2"/>
        <v>XR (Термотроник)</v>
      </c>
      <c r="U1487" s="8">
        <v>0.0</v>
      </c>
      <c r="V1487" s="8">
        <v>0.0</v>
      </c>
      <c r="W1487" s="21" t="str">
        <f t="shared" si="158"/>
        <v>Данные не заполены</v>
      </c>
      <c r="X1487" s="15" t="str">
        <f t="shared" si="154"/>
        <v>Данные не заполены</v>
      </c>
      <c r="Y1487" s="15">
        <f t="shared" si="155"/>
        <v>0</v>
      </c>
    </row>
    <row r="1488" hidden="1">
      <c r="A1488" s="7">
        <v>44132.81202146991</v>
      </c>
      <c r="B1488" s="8" t="s">
        <v>127</v>
      </c>
      <c r="C1488" s="8">
        <v>20015.0</v>
      </c>
      <c r="D1488" s="8" t="s">
        <v>69</v>
      </c>
      <c r="F1488" s="8" t="s">
        <v>104</v>
      </c>
      <c r="L1488" s="8" t="s">
        <v>31</v>
      </c>
      <c r="M1488" s="8" t="s">
        <v>34</v>
      </c>
      <c r="P1488" s="9">
        <v>44132.0</v>
      </c>
      <c r="Q1488" s="10">
        <v>0.020833333335758653</v>
      </c>
      <c r="R1488" s="11" t="str">
        <f t="shared" si="1"/>
        <v>Обучение</v>
      </c>
      <c r="S1488" s="16" t="str">
        <f>iferror(VLOOKUP(C1488,'ФИО'!A:B,2,0),"учётный код не найден")</f>
        <v>Ельцов Андрей Николаевич</v>
      </c>
      <c r="T1488" s="11" t="str">
        <f t="shared" si="2"/>
        <v/>
      </c>
      <c r="W1488" s="17" t="str">
        <f t="shared" si="158"/>
        <v>Данные не заполены</v>
      </c>
      <c r="X1488" s="14" t="str">
        <f t="shared" si="154"/>
        <v>Данные не заполены</v>
      </c>
      <c r="Y1488" s="15">
        <f t="shared" si="155"/>
        <v>0</v>
      </c>
    </row>
    <row r="1489">
      <c r="A1489" s="7">
        <v>44116.80207420139</v>
      </c>
      <c r="B1489" s="8" t="s">
        <v>127</v>
      </c>
      <c r="C1489" s="8">
        <v>20015.0</v>
      </c>
      <c r="D1489" s="8" t="s">
        <v>69</v>
      </c>
      <c r="F1489" s="8" t="s">
        <v>72</v>
      </c>
      <c r="G1489" s="8">
        <v>3750.0</v>
      </c>
      <c r="H1489" s="8" t="s">
        <v>45</v>
      </c>
      <c r="K1489" s="8" t="s">
        <v>46</v>
      </c>
      <c r="L1489" s="8" t="s">
        <v>31</v>
      </c>
      <c r="M1489" s="8" t="s">
        <v>34</v>
      </c>
      <c r="N1489" s="8"/>
      <c r="O1489" s="8"/>
      <c r="P1489" s="9">
        <v>44116.0</v>
      </c>
      <c r="Q1489" s="10">
        <v>0.20833333333575865</v>
      </c>
      <c r="R1489" s="11" t="str">
        <f t="shared" si="1"/>
        <v>Пайка компонентов PRI</v>
      </c>
      <c r="S1489" s="16" t="str">
        <f>iferror(VLOOKUP(C1489,'ФИО'!A:B,2,0),"учётный код не найден")</f>
        <v>Ельцов Андрей Николаевич</v>
      </c>
      <c r="T1489" s="11" t="str">
        <f t="shared" si="2"/>
        <v>ПУ 910-00349.A "Печатный узел основного блока E96 4LIN"</v>
      </c>
      <c r="U1489" s="8">
        <v>0.0</v>
      </c>
      <c r="V1489" s="8">
        <v>0.0</v>
      </c>
      <c r="W1489" s="17" t="str">
        <f t="shared" si="158"/>
        <v>Данные не заполены</v>
      </c>
      <c r="X1489" s="14" t="str">
        <f t="shared" si="154"/>
        <v>Данные не заполены</v>
      </c>
      <c r="Y1489" s="15">
        <f t="shared" si="155"/>
        <v>0</v>
      </c>
    </row>
    <row r="1490" hidden="1">
      <c r="A1490" s="7">
        <v>44131.7516613426</v>
      </c>
      <c r="B1490" s="8" t="s">
        <v>126</v>
      </c>
      <c r="C1490" s="8">
        <v>50000.0</v>
      </c>
      <c r="D1490" s="8" t="s">
        <v>27</v>
      </c>
      <c r="E1490" s="8" t="s">
        <v>67</v>
      </c>
      <c r="G1490" s="8">
        <v>3793.0</v>
      </c>
      <c r="H1490" s="8" t="s">
        <v>29</v>
      </c>
      <c r="I1490" s="8" t="s">
        <v>163</v>
      </c>
      <c r="L1490" s="8" t="s">
        <v>37</v>
      </c>
      <c r="N1490" s="8">
        <v>7.0</v>
      </c>
      <c r="O1490" s="8">
        <v>11.0</v>
      </c>
      <c r="P1490" s="9">
        <v>44131.0</v>
      </c>
      <c r="Q1490" s="10">
        <v>0.06458333333333334</v>
      </c>
      <c r="R1490" s="11" t="str">
        <f t="shared" si="1"/>
        <v>Сборка на линии Prim</v>
      </c>
      <c r="S1490" s="12" t="str">
        <f>iferror(VLOOKUP(C1490,'ФИО'!A:B,2,0),"учётный код не найден")</f>
        <v>SMT</v>
      </c>
      <c r="T1490" s="13" t="str">
        <f t="shared" si="2"/>
        <v>915-00068.A - uklsip(s)220_v3.01 (Гефест)</v>
      </c>
      <c r="U1490" s="8">
        <v>1001.0</v>
      </c>
      <c r="V1490" s="8">
        <v>0.0</v>
      </c>
      <c r="W1490" s="17">
        <f t="shared" si="158"/>
        <v>5377.68</v>
      </c>
      <c r="X1490" s="14">
        <f t="shared" si="154"/>
        <v>1.32099176</v>
      </c>
      <c r="Y1490" s="15">
        <f t="shared" si="155"/>
        <v>0</v>
      </c>
    </row>
    <row r="1491" hidden="1">
      <c r="A1491" s="7">
        <v>44124.82260288195</v>
      </c>
      <c r="B1491" s="8" t="s">
        <v>127</v>
      </c>
      <c r="C1491" s="8">
        <v>20015.0</v>
      </c>
      <c r="D1491" s="8" t="s">
        <v>27</v>
      </c>
      <c r="E1491" s="8" t="s">
        <v>66</v>
      </c>
      <c r="G1491" s="8">
        <v>3804.0</v>
      </c>
      <c r="H1491" s="8" t="s">
        <v>45</v>
      </c>
      <c r="K1491" s="8" t="s">
        <v>52</v>
      </c>
      <c r="L1491" s="8" t="s">
        <v>31</v>
      </c>
      <c r="M1491" s="8" t="s">
        <v>34</v>
      </c>
      <c r="P1491" s="9">
        <v>44124.0</v>
      </c>
      <c r="Q1491" s="10">
        <v>0.08333333333575865</v>
      </c>
      <c r="R1491" s="11" t="str">
        <f t="shared" si="1"/>
        <v>Проверка первой платы до оплавления</v>
      </c>
      <c r="S1491" s="16" t="str">
        <f>iferror(VLOOKUP(C1491,'ФИО'!A:B,2,0),"учётный код не найден")</f>
        <v>Ельцов Андрей Николаевич</v>
      </c>
      <c r="T1491" s="11" t="str">
        <f t="shared" si="2"/>
        <v>М17V2 (900-00018.D)_910-00023.H и ПУ 910-00012.I</v>
      </c>
      <c r="U1491" s="8">
        <v>0.0</v>
      </c>
      <c r="V1491" s="8">
        <v>0.0</v>
      </c>
      <c r="W1491" s="17" t="str">
        <f t="shared" si="158"/>
        <v>Данные не заполены</v>
      </c>
      <c r="X1491" s="14" t="str">
        <f t="shared" si="154"/>
        <v>Данные не заполены</v>
      </c>
      <c r="Y1491" s="15">
        <f t="shared" si="155"/>
        <v>0</v>
      </c>
    </row>
    <row r="1492" hidden="1">
      <c r="A1492" s="7">
        <v>44132.8115734375</v>
      </c>
      <c r="B1492" s="8" t="s">
        <v>127</v>
      </c>
      <c r="C1492" s="8">
        <v>20015.0</v>
      </c>
      <c r="D1492" s="8" t="s">
        <v>27</v>
      </c>
      <c r="E1492" s="8" t="s">
        <v>68</v>
      </c>
      <c r="L1492" s="8" t="s">
        <v>31</v>
      </c>
      <c r="M1492" s="8" t="s">
        <v>34</v>
      </c>
      <c r="P1492" s="9">
        <v>44132.0</v>
      </c>
      <c r="Q1492" s="10">
        <v>0.0625</v>
      </c>
      <c r="R1492" s="11" t="str">
        <f t="shared" si="1"/>
        <v>Прохождение обучения</v>
      </c>
      <c r="S1492" s="16" t="str">
        <f>iferror(VLOOKUP(C1492,'ФИО'!A:B,2,0),"учётный код не найден")</f>
        <v>Ельцов Андрей Николаевич</v>
      </c>
      <c r="T1492" s="11" t="str">
        <f t="shared" si="2"/>
        <v/>
      </c>
      <c r="W1492" s="17" t="str">
        <f t="shared" si="158"/>
        <v>Данные не заполены</v>
      </c>
      <c r="X1492" s="14" t="str">
        <f t="shared" si="154"/>
        <v>Данные не заполены</v>
      </c>
      <c r="Y1492" s="15">
        <f t="shared" si="155"/>
        <v>0</v>
      </c>
    </row>
    <row r="1493" hidden="1">
      <c r="A1493" s="7">
        <v>44124.62716001157</v>
      </c>
      <c r="B1493" s="8" t="s">
        <v>127</v>
      </c>
      <c r="C1493" s="8">
        <v>20015.0</v>
      </c>
      <c r="D1493" s="8" t="s">
        <v>27</v>
      </c>
      <c r="E1493" s="8" t="s">
        <v>88</v>
      </c>
      <c r="G1493" s="8">
        <v>3754.0</v>
      </c>
      <c r="H1493" s="8" t="s">
        <v>45</v>
      </c>
      <c r="K1493" s="8" t="s">
        <v>124</v>
      </c>
      <c r="L1493" s="8" t="s">
        <v>37</v>
      </c>
      <c r="P1493" s="9">
        <v>44124.0</v>
      </c>
      <c r="Q1493" s="10">
        <v>0.16666666666424135</v>
      </c>
      <c r="R1493" s="11" t="str">
        <f t="shared" si="1"/>
        <v>Сборка на линии Sec</v>
      </c>
      <c r="S1493" s="16" t="str">
        <f>iferror(VLOOKUP(C1493,'ФИО'!A:B,2,0),"учётный код не найден")</f>
        <v>Ельцов Андрей Николаевич</v>
      </c>
      <c r="T1493" s="11" t="str">
        <f t="shared" si="2"/>
        <v>ПУ 910-00120.D - Печатный узел модуля 2CAN+LIN</v>
      </c>
      <c r="U1493" s="8">
        <v>0.0</v>
      </c>
      <c r="V1493" s="8">
        <v>0.0</v>
      </c>
      <c r="W1493" s="17" t="str">
        <f t="shared" si="158"/>
        <v>Данные не заполены</v>
      </c>
      <c r="X1493" s="14" t="str">
        <f t="shared" si="154"/>
        <v>Данные не заполены</v>
      </c>
      <c r="Y1493" s="15">
        <f t="shared" si="155"/>
        <v>0</v>
      </c>
    </row>
    <row r="1494" hidden="1">
      <c r="A1494" s="7">
        <v>44133.83041392361</v>
      </c>
      <c r="B1494" s="8" t="s">
        <v>127</v>
      </c>
      <c r="C1494" s="8">
        <v>22063.0</v>
      </c>
      <c r="D1494" s="8" t="s">
        <v>27</v>
      </c>
      <c r="E1494" s="8" t="s">
        <v>28</v>
      </c>
      <c r="G1494" s="8">
        <v>3621.0</v>
      </c>
      <c r="H1494" s="8" t="s">
        <v>29</v>
      </c>
      <c r="I1494" s="8" t="s">
        <v>30</v>
      </c>
      <c r="L1494" s="8" t="s">
        <v>31</v>
      </c>
      <c r="M1494" s="8" t="s">
        <v>34</v>
      </c>
      <c r="P1494" s="9">
        <v>44133.0</v>
      </c>
      <c r="Q1494" s="10">
        <v>0.18055555555474712</v>
      </c>
      <c r="R1494" s="11" t="str">
        <f t="shared" si="1"/>
        <v>Выполнение дополнительных работ на линии</v>
      </c>
      <c r="S1494" s="16" t="str">
        <f>iferror(VLOOKUP(C1494,'ФИО'!A:B,2,0),"учётный код не найден")</f>
        <v>Белоглазов Сергей Анатольевич</v>
      </c>
      <c r="T1494" s="11" t="str">
        <f t="shared" si="2"/>
        <v>915-00121.A - Процессорный модуль РСЕН.469555.027 (КНС Групп) в ТС</v>
      </c>
      <c r="U1494" s="8">
        <v>0.0</v>
      </c>
      <c r="V1494" s="8">
        <v>0.0</v>
      </c>
      <c r="W1494" s="17" t="str">
        <f t="shared" si="158"/>
        <v>Данные не заполены</v>
      </c>
      <c r="X1494" s="14" t="str">
        <f t="shared" si="154"/>
        <v>Данные не заполены</v>
      </c>
      <c r="Y1494" s="15">
        <f t="shared" si="155"/>
        <v>0</v>
      </c>
    </row>
    <row r="1495" hidden="1">
      <c r="A1495" s="7">
        <v>44121.33364361111</v>
      </c>
      <c r="B1495" s="8" t="s">
        <v>126</v>
      </c>
      <c r="C1495" s="8">
        <v>21927.0</v>
      </c>
      <c r="D1495" s="8" t="s">
        <v>27</v>
      </c>
      <c r="E1495" s="8" t="s">
        <v>88</v>
      </c>
      <c r="G1495" s="8">
        <v>3649.0</v>
      </c>
      <c r="H1495" s="8" t="s">
        <v>29</v>
      </c>
      <c r="I1495" s="8" t="s">
        <v>33</v>
      </c>
      <c r="L1495" s="8" t="s">
        <v>37</v>
      </c>
      <c r="P1495" s="9">
        <v>44120.0</v>
      </c>
      <c r="Q1495" s="10">
        <v>0.14583333333575865</v>
      </c>
      <c r="R1495" s="11" t="str">
        <f t="shared" si="1"/>
        <v>Сборка на линии Sec</v>
      </c>
      <c r="S1495" s="16" t="str">
        <f>iferror(VLOOKUP(C1495,'ФИО'!A:B,2,0),"учётный код не найден")</f>
        <v>Шергин Родион Олегович</v>
      </c>
      <c r="T1495" s="13" t="str">
        <f t="shared" si="2"/>
        <v>ssfp2.2 (Метротек)</v>
      </c>
      <c r="U1495" s="8">
        <v>0.0</v>
      </c>
      <c r="V1495" s="8">
        <v>0.0</v>
      </c>
      <c r="W1495" s="17" t="str">
        <f t="shared" si="158"/>
        <v>Данные не заполены</v>
      </c>
      <c r="X1495" s="14" t="str">
        <f t="shared" si="154"/>
        <v>Данные не заполены</v>
      </c>
      <c r="Y1495" s="15">
        <f t="shared" si="155"/>
        <v>0</v>
      </c>
    </row>
    <row r="1496" hidden="1">
      <c r="A1496" s="7">
        <v>44132.82259138889</v>
      </c>
      <c r="B1496" s="8" t="s">
        <v>127</v>
      </c>
      <c r="C1496" s="8">
        <v>22063.0</v>
      </c>
      <c r="D1496" s="8" t="s">
        <v>27</v>
      </c>
      <c r="E1496" s="8" t="s">
        <v>39</v>
      </c>
      <c r="G1496" s="8">
        <v>3621.0</v>
      </c>
      <c r="H1496" s="8" t="s">
        <v>29</v>
      </c>
      <c r="I1496" s="8" t="s">
        <v>54</v>
      </c>
      <c r="L1496" s="8" t="s">
        <v>31</v>
      </c>
      <c r="M1496" s="8" t="s">
        <v>34</v>
      </c>
      <c r="P1496" s="9">
        <v>44132.0</v>
      </c>
      <c r="Q1496" s="10">
        <v>0.08333333333575865</v>
      </c>
      <c r="R1496" s="11" t="str">
        <f t="shared" si="1"/>
        <v>Зарядка питателей Prim</v>
      </c>
      <c r="S1496" s="16" t="str">
        <f>iferror(VLOOKUP(C1496,'ФИО'!A:B,2,0),"учётный код не найден")</f>
        <v>Белоглазов Сергей Анатольевич</v>
      </c>
      <c r="T1496" s="11" t="str">
        <f t="shared" si="2"/>
        <v>915-00121.A - Процессорный модуль РСЕН.469555.027 (КНС Групп)</v>
      </c>
      <c r="U1496" s="8">
        <v>35.0</v>
      </c>
      <c r="V1496" s="8">
        <v>0.0</v>
      </c>
      <c r="W1496" s="17" t="str">
        <f t="shared" si="158"/>
        <v>Данные не заполены</v>
      </c>
      <c r="X1496" s="14" t="str">
        <f t="shared" si="154"/>
        <v>Данные не заполены</v>
      </c>
      <c r="Y1496" s="15">
        <f t="shared" si="155"/>
        <v>0</v>
      </c>
    </row>
    <row r="1497" hidden="1">
      <c r="A1497" s="7">
        <v>44133.82564256944</v>
      </c>
      <c r="B1497" s="8" t="s">
        <v>127</v>
      </c>
      <c r="C1497" s="8">
        <v>22063.0</v>
      </c>
      <c r="D1497" s="8" t="s">
        <v>27</v>
      </c>
      <c r="E1497" s="8" t="s">
        <v>40</v>
      </c>
      <c r="G1497" s="8">
        <v>3621.0</v>
      </c>
      <c r="H1497" s="8" t="s">
        <v>29</v>
      </c>
      <c r="I1497" s="8" t="s">
        <v>30</v>
      </c>
      <c r="L1497" s="8" t="s">
        <v>31</v>
      </c>
      <c r="M1497" s="8" t="s">
        <v>34</v>
      </c>
      <c r="P1497" s="9">
        <v>44133.0</v>
      </c>
      <c r="Q1497" s="10">
        <v>0.125</v>
      </c>
      <c r="R1497" s="11" t="str">
        <f t="shared" si="1"/>
        <v>Зарядка питателей Sec</v>
      </c>
      <c r="S1497" s="16" t="str">
        <f>iferror(VLOOKUP(C1497,'ФИО'!A:B,2,0),"учётный код не найден")</f>
        <v>Белоглазов Сергей Анатольевич</v>
      </c>
      <c r="T1497" s="11" t="str">
        <f t="shared" si="2"/>
        <v>915-00121.A - Процессорный модуль РСЕН.469555.027 (КНС Групп) в ТС</v>
      </c>
      <c r="U1497" s="8">
        <v>70.0</v>
      </c>
      <c r="V1497" s="8">
        <v>0.0</v>
      </c>
      <c r="W1497" s="17" t="str">
        <f t="shared" si="158"/>
        <v>Данные не заполены</v>
      </c>
      <c r="X1497" s="14" t="str">
        <f t="shared" si="154"/>
        <v>Данные не заполены</v>
      </c>
      <c r="Y1497" s="15">
        <f t="shared" si="155"/>
        <v>0</v>
      </c>
    </row>
    <row r="1498" hidden="1">
      <c r="A1498" s="7">
        <v>44127.75767078703</v>
      </c>
      <c r="B1498" s="8" t="s">
        <v>89</v>
      </c>
      <c r="C1498" s="8">
        <v>20015.0</v>
      </c>
      <c r="D1498" s="8" t="s">
        <v>27</v>
      </c>
      <c r="E1498" s="8" t="s">
        <v>67</v>
      </c>
      <c r="G1498" s="8">
        <v>3621.0</v>
      </c>
      <c r="H1498" s="8" t="s">
        <v>29</v>
      </c>
      <c r="I1498" s="8" t="s">
        <v>54</v>
      </c>
      <c r="L1498" s="8" t="s">
        <v>37</v>
      </c>
      <c r="P1498" s="9">
        <v>44127.0</v>
      </c>
      <c r="Q1498" s="10">
        <v>0.020833333335758653</v>
      </c>
      <c r="R1498" s="11" t="str">
        <f t="shared" si="1"/>
        <v>Сборка на линии Prim</v>
      </c>
      <c r="S1498" s="16" t="str">
        <f>iferror(VLOOKUP(C1498,'ФИО'!A:B,2,0),"учётный код не найден")</f>
        <v>Ельцов Андрей Николаевич</v>
      </c>
      <c r="T1498" s="13" t="str">
        <f t="shared" si="2"/>
        <v>915-00121.A - Процессорный модуль РСЕН.469555.027 (КНС Групп)</v>
      </c>
      <c r="U1498" s="8">
        <v>0.0</v>
      </c>
      <c r="V1498" s="8">
        <v>0.0</v>
      </c>
      <c r="W1498" s="17" t="str">
        <f t="shared" si="158"/>
        <v>Данные не заполены</v>
      </c>
      <c r="X1498" s="14" t="str">
        <f t="shared" si="154"/>
        <v>Данные не заполены</v>
      </c>
      <c r="Y1498" s="15">
        <f t="shared" si="155"/>
        <v>0</v>
      </c>
    </row>
    <row r="1499" hidden="1">
      <c r="A1499" s="7">
        <v>44132.82035978009</v>
      </c>
      <c r="B1499" s="8" t="s">
        <v>127</v>
      </c>
      <c r="C1499" s="8">
        <v>22063.0</v>
      </c>
      <c r="D1499" s="8" t="s">
        <v>27</v>
      </c>
      <c r="E1499" s="8" t="s">
        <v>310</v>
      </c>
      <c r="G1499" s="8">
        <v>3621.0</v>
      </c>
      <c r="H1499" s="8" t="s">
        <v>29</v>
      </c>
      <c r="I1499" s="8" t="s">
        <v>54</v>
      </c>
      <c r="L1499" s="8" t="s">
        <v>31</v>
      </c>
      <c r="M1499" s="8" t="s">
        <v>34</v>
      </c>
      <c r="P1499" s="9">
        <v>44132.0</v>
      </c>
      <c r="Q1499" s="10">
        <v>0.25</v>
      </c>
      <c r="R1499" s="11" t="str">
        <f t="shared" si="1"/>
        <v>Наращивание комплектации</v>
      </c>
      <c r="S1499" s="16" t="str">
        <f>iferror(VLOOKUP(C1499,'ФИО'!A:B,2,0),"учётный код не найден")</f>
        <v>Белоглазов Сергей Анатольевич</v>
      </c>
      <c r="T1499" s="11" t="str">
        <f t="shared" si="2"/>
        <v>915-00121.A - Процессорный модуль РСЕН.469555.027 (КНС Групп)</v>
      </c>
      <c r="U1499" s="8">
        <v>134.0</v>
      </c>
      <c r="V1499" s="8">
        <v>0.0</v>
      </c>
      <c r="W1499" s="17" t="str">
        <f t="shared" si="158"/>
        <v>Данные не заполены</v>
      </c>
      <c r="X1499" s="14" t="str">
        <f t="shared" si="154"/>
        <v>Данные не заполены</v>
      </c>
      <c r="Y1499" s="15">
        <f t="shared" si="155"/>
        <v>0</v>
      </c>
    </row>
    <row r="1500" hidden="1">
      <c r="A1500" s="7">
        <v>44128.3333599537</v>
      </c>
      <c r="B1500" s="8" t="s">
        <v>126</v>
      </c>
      <c r="C1500" s="8">
        <v>50000.0</v>
      </c>
      <c r="D1500" s="8" t="s">
        <v>27</v>
      </c>
      <c r="E1500" s="8" t="s">
        <v>88</v>
      </c>
      <c r="G1500" s="8">
        <v>3804.0</v>
      </c>
      <c r="H1500" s="8" t="s">
        <v>45</v>
      </c>
      <c r="K1500" s="8" t="s">
        <v>52</v>
      </c>
      <c r="L1500" s="8" t="s">
        <v>37</v>
      </c>
      <c r="N1500" s="8">
        <v>20.0</v>
      </c>
      <c r="O1500" s="8">
        <v>38.0</v>
      </c>
      <c r="P1500" s="9">
        <v>44127.0</v>
      </c>
      <c r="Q1500" s="10">
        <v>0.1875</v>
      </c>
      <c r="R1500" s="11" t="str">
        <f t="shared" si="1"/>
        <v>Сборка на линии Sec</v>
      </c>
      <c r="S1500" s="16" t="str">
        <f>iferror(VLOOKUP(C1500,'ФИО'!A:B,2,0),"учётный код не найден")</f>
        <v>SMT</v>
      </c>
      <c r="T1500" s="13" t="str">
        <f t="shared" si="2"/>
        <v>М17V2 (900-00018.D)_910-00023.H и ПУ 910-00012.I</v>
      </c>
      <c r="U1500" s="8">
        <v>200.0</v>
      </c>
      <c r="V1500" s="8">
        <v>0.0</v>
      </c>
      <c r="W1500" s="17">
        <f t="shared" si="158"/>
        <v>14151.78947</v>
      </c>
      <c r="X1500" s="14">
        <f t="shared" si="154"/>
        <v>0.03454608266</v>
      </c>
      <c r="Y1500" s="15">
        <f t="shared" si="155"/>
        <v>0</v>
      </c>
      <c r="Z1500" s="8" t="s">
        <v>311</v>
      </c>
    </row>
    <row r="1501" hidden="1">
      <c r="A1501" s="7">
        <v>44128.33091255787</v>
      </c>
      <c r="B1501" s="8" t="s">
        <v>126</v>
      </c>
      <c r="C1501" s="8">
        <v>21927.0</v>
      </c>
      <c r="D1501" s="8" t="s">
        <v>27</v>
      </c>
      <c r="E1501" s="8" t="s">
        <v>88</v>
      </c>
      <c r="G1501" s="8">
        <v>3804.0</v>
      </c>
      <c r="H1501" s="8" t="s">
        <v>45</v>
      </c>
      <c r="K1501" s="8" t="s">
        <v>52</v>
      </c>
      <c r="L1501" s="8" t="s">
        <v>37</v>
      </c>
      <c r="P1501" s="9">
        <v>44127.0</v>
      </c>
      <c r="Q1501" s="10">
        <v>0.22916666666424135</v>
      </c>
      <c r="R1501" s="11" t="str">
        <f t="shared" si="1"/>
        <v>Сборка на линии Sec</v>
      </c>
      <c r="S1501" s="16" t="str">
        <f>iferror(VLOOKUP(C1501,'ФИО'!A:B,2,0),"учётный код не найден")</f>
        <v>Шергин Родион Олегович</v>
      </c>
      <c r="T1501" s="13" t="str">
        <f t="shared" si="2"/>
        <v>М17V2 (900-00018.D)_910-00023.H и ПУ 910-00012.I</v>
      </c>
      <c r="U1501" s="8">
        <v>0.0</v>
      </c>
      <c r="V1501" s="8">
        <v>0.0</v>
      </c>
      <c r="W1501" s="17" t="str">
        <f t="shared" si="158"/>
        <v>Данные не заполены</v>
      </c>
      <c r="X1501" s="14" t="str">
        <f t="shared" si="154"/>
        <v>Данные не заполены</v>
      </c>
      <c r="Y1501" s="15">
        <f t="shared" si="155"/>
        <v>0</v>
      </c>
    </row>
    <row r="1502" hidden="1">
      <c r="A1502" s="7">
        <v>44128.32387574074</v>
      </c>
      <c r="B1502" s="8" t="s">
        <v>126</v>
      </c>
      <c r="C1502" s="8">
        <v>22574.0</v>
      </c>
      <c r="D1502" s="8" t="s">
        <v>27</v>
      </c>
      <c r="E1502" s="8" t="s">
        <v>88</v>
      </c>
      <c r="G1502" s="8">
        <v>3804.0</v>
      </c>
      <c r="H1502" s="8" t="s">
        <v>45</v>
      </c>
      <c r="K1502" s="8" t="s">
        <v>52</v>
      </c>
      <c r="L1502" s="8" t="s">
        <v>37</v>
      </c>
      <c r="P1502" s="9">
        <v>44127.0</v>
      </c>
      <c r="Q1502" s="10">
        <v>0.20833333333575865</v>
      </c>
      <c r="R1502" s="11" t="str">
        <f t="shared" si="1"/>
        <v>Сборка на линии Sec</v>
      </c>
      <c r="S1502" s="16" t="str">
        <f>iferror(VLOOKUP(C1502,'ФИО'!A:B,2,0),"учётный код не найден")</f>
        <v>Шапенков Геннадий Михайлович</v>
      </c>
      <c r="T1502" s="13" t="str">
        <f t="shared" si="2"/>
        <v>М17V2 (900-00018.D)_910-00023.H и ПУ 910-00012.I</v>
      </c>
      <c r="U1502" s="8">
        <v>0.0</v>
      </c>
      <c r="V1502" s="8">
        <v>0.0</v>
      </c>
      <c r="W1502" s="17" t="str">
        <f t="shared" si="158"/>
        <v>Данные не заполены</v>
      </c>
      <c r="X1502" s="14" t="str">
        <f t="shared" si="154"/>
        <v>Данные не заполены</v>
      </c>
      <c r="Y1502" s="15">
        <f t="shared" si="155"/>
        <v>0</v>
      </c>
    </row>
    <row r="1503" hidden="1">
      <c r="A1503" s="7">
        <v>44128.31909247686</v>
      </c>
      <c r="B1503" s="8" t="s">
        <v>126</v>
      </c>
      <c r="C1503" s="8">
        <v>22063.0</v>
      </c>
      <c r="D1503" s="8" t="s">
        <v>27</v>
      </c>
      <c r="E1503" s="8" t="s">
        <v>88</v>
      </c>
      <c r="G1503" s="8">
        <v>3621.0</v>
      </c>
      <c r="H1503" s="8" t="s">
        <v>29</v>
      </c>
      <c r="I1503" s="8" t="s">
        <v>30</v>
      </c>
      <c r="L1503" s="8" t="s">
        <v>37</v>
      </c>
      <c r="P1503" s="9">
        <v>44127.0</v>
      </c>
      <c r="Q1503" s="10">
        <v>0.04166666666424135</v>
      </c>
      <c r="R1503" s="11" t="str">
        <f t="shared" si="1"/>
        <v>Сборка на линии Sec</v>
      </c>
      <c r="S1503" s="16" t="str">
        <f>iferror(VLOOKUP(C1503,'ФИО'!A:B,2,0),"учётный код не найден")</f>
        <v>Белоглазов Сергей Анатольевич</v>
      </c>
      <c r="T1503" s="13" t="str">
        <f t="shared" si="2"/>
        <v>915-00121.A - Процессорный модуль РСЕН.469555.027 (КНС Групп) в ТС</v>
      </c>
      <c r="U1503" s="8">
        <v>0.0</v>
      </c>
      <c r="V1503" s="8">
        <v>0.0</v>
      </c>
      <c r="W1503" s="17" t="str">
        <f t="shared" si="158"/>
        <v>Данные не заполены</v>
      </c>
      <c r="X1503" s="14" t="str">
        <f t="shared" si="154"/>
        <v>Данные не заполены</v>
      </c>
      <c r="Y1503" s="15">
        <f t="shared" si="155"/>
        <v>0</v>
      </c>
    </row>
    <row r="1504" hidden="1">
      <c r="A1504" s="7">
        <v>44128.32109013889</v>
      </c>
      <c r="B1504" s="8" t="s">
        <v>126</v>
      </c>
      <c r="C1504" s="8">
        <v>22063.0</v>
      </c>
      <c r="D1504" s="8" t="s">
        <v>27</v>
      </c>
      <c r="E1504" s="8" t="s">
        <v>88</v>
      </c>
      <c r="G1504" s="8">
        <v>3804.0</v>
      </c>
      <c r="H1504" s="8" t="s">
        <v>45</v>
      </c>
      <c r="K1504" s="8" t="s">
        <v>52</v>
      </c>
      <c r="L1504" s="8" t="s">
        <v>37</v>
      </c>
      <c r="P1504" s="9">
        <v>44127.0</v>
      </c>
      <c r="Q1504" s="10">
        <v>0.22916666666424135</v>
      </c>
      <c r="R1504" s="11" t="str">
        <f t="shared" si="1"/>
        <v>Сборка на линии Sec</v>
      </c>
      <c r="S1504" s="16" t="str">
        <f>iferror(VLOOKUP(C1504,'ФИО'!A:B,2,0),"учётный код не найден")</f>
        <v>Белоглазов Сергей Анатольевич</v>
      </c>
      <c r="T1504" s="13" t="str">
        <f t="shared" si="2"/>
        <v>М17V2 (900-00018.D)_910-00023.H и ПУ 910-00012.I</v>
      </c>
      <c r="U1504" s="8">
        <v>0.0</v>
      </c>
      <c r="V1504" s="8">
        <v>0.0</v>
      </c>
      <c r="W1504" s="17" t="str">
        <f t="shared" si="158"/>
        <v>Данные не заполены</v>
      </c>
      <c r="X1504" s="14" t="str">
        <f t="shared" si="154"/>
        <v>Данные не заполены</v>
      </c>
      <c r="Y1504" s="15">
        <f t="shared" si="155"/>
        <v>0</v>
      </c>
    </row>
    <row r="1505" hidden="1">
      <c r="A1505" s="7">
        <v>44129.333468530094</v>
      </c>
      <c r="B1505" s="8" t="s">
        <v>126</v>
      </c>
      <c r="C1505" s="8">
        <v>50000.0</v>
      </c>
      <c r="D1505" s="8" t="s">
        <v>27</v>
      </c>
      <c r="E1505" s="8" t="s">
        <v>88</v>
      </c>
      <c r="G1505" s="8">
        <v>3804.0</v>
      </c>
      <c r="H1505" s="8" t="s">
        <v>45</v>
      </c>
      <c r="K1505" s="8" t="s">
        <v>52</v>
      </c>
      <c r="L1505" s="8" t="s">
        <v>37</v>
      </c>
      <c r="N1505" s="8">
        <v>20.0</v>
      </c>
      <c r="O1505" s="8">
        <v>40.0</v>
      </c>
      <c r="P1505" s="9">
        <v>44128.0</v>
      </c>
      <c r="Q1505" s="10">
        <v>0.45833333333575865</v>
      </c>
      <c r="R1505" s="11" t="str">
        <f t="shared" si="1"/>
        <v>Сборка на линии Sec</v>
      </c>
      <c r="S1505" s="12" t="str">
        <f>iferror(VLOOKUP(C1505,'ФИО'!A:B,2,0),"учётный код не найден")</f>
        <v>SMT</v>
      </c>
      <c r="T1505" s="13" t="str">
        <f t="shared" si="2"/>
        <v>М17V2 (900-00018.D)_910-00023.H и ПУ 910-00012.I</v>
      </c>
      <c r="U1505" s="8">
        <v>6640.0</v>
      </c>
      <c r="V1505" s="8">
        <v>0.0</v>
      </c>
      <c r="W1505" s="17">
        <f t="shared" si="158"/>
        <v>13444.2</v>
      </c>
      <c r="X1505" s="14">
        <f t="shared" si="154"/>
        <v>0.4938932774</v>
      </c>
      <c r="Y1505" s="15">
        <f t="shared" si="155"/>
        <v>0</v>
      </c>
      <c r="Z1505" s="8" t="s">
        <v>312</v>
      </c>
    </row>
    <row r="1506" hidden="1">
      <c r="A1506" s="7">
        <v>44129.32995520833</v>
      </c>
      <c r="B1506" s="8" t="s">
        <v>126</v>
      </c>
      <c r="C1506" s="8">
        <v>20849.0</v>
      </c>
      <c r="D1506" s="8" t="s">
        <v>27</v>
      </c>
      <c r="E1506" s="8" t="s">
        <v>88</v>
      </c>
      <c r="G1506" s="8">
        <v>3804.0</v>
      </c>
      <c r="H1506" s="8" t="s">
        <v>45</v>
      </c>
      <c r="K1506" s="8" t="s">
        <v>52</v>
      </c>
      <c r="L1506" s="8" t="s">
        <v>37</v>
      </c>
      <c r="P1506" s="9">
        <v>44128.0</v>
      </c>
      <c r="Q1506" s="10">
        <v>0.125</v>
      </c>
      <c r="R1506" s="11" t="str">
        <f t="shared" si="1"/>
        <v>Сборка на линии Sec</v>
      </c>
      <c r="S1506" s="12" t="str">
        <f>iferror(VLOOKUP(C1506,'ФИО'!A:B,2,0),"учётный код не найден")</f>
        <v>Шилоносов Максим Евгеньевич</v>
      </c>
      <c r="T1506" s="13" t="str">
        <f t="shared" si="2"/>
        <v>М17V2 (900-00018.D)_910-00023.H и ПУ 910-00012.I</v>
      </c>
      <c r="U1506" s="8">
        <v>0.0</v>
      </c>
      <c r="V1506" s="8">
        <v>0.0</v>
      </c>
      <c r="W1506" s="17" t="str">
        <f t="shared" si="158"/>
        <v>Данные не заполены</v>
      </c>
      <c r="X1506" s="14" t="str">
        <f t="shared" si="154"/>
        <v>Данные не заполены</v>
      </c>
      <c r="Y1506" s="15">
        <f t="shared" si="155"/>
        <v>0</v>
      </c>
    </row>
    <row r="1507" hidden="1">
      <c r="A1507" s="7">
        <v>44129.312891828704</v>
      </c>
      <c r="B1507" s="8" t="s">
        <v>126</v>
      </c>
      <c r="C1507" s="8">
        <v>22574.0</v>
      </c>
      <c r="D1507" s="8" t="s">
        <v>27</v>
      </c>
      <c r="E1507" s="8" t="s">
        <v>88</v>
      </c>
      <c r="G1507" s="8">
        <v>3804.0</v>
      </c>
      <c r="H1507" s="8" t="s">
        <v>45</v>
      </c>
      <c r="K1507" s="8" t="s">
        <v>52</v>
      </c>
      <c r="L1507" s="8" t="s">
        <v>37</v>
      </c>
      <c r="P1507" s="9">
        <v>44128.0</v>
      </c>
      <c r="Q1507" s="10">
        <v>0.45833333333575865</v>
      </c>
      <c r="R1507" s="11" t="str">
        <f t="shared" si="1"/>
        <v>Сборка на линии Sec</v>
      </c>
      <c r="S1507" s="12" t="str">
        <f>iferror(VLOOKUP(C1507,'ФИО'!A:B,2,0),"учётный код не найден")</f>
        <v>Шапенков Геннадий Михайлович</v>
      </c>
      <c r="T1507" s="13" t="str">
        <f t="shared" si="2"/>
        <v>М17V2 (900-00018.D)_910-00023.H и ПУ 910-00012.I</v>
      </c>
      <c r="U1507" s="8">
        <v>0.0</v>
      </c>
      <c r="V1507" s="8">
        <v>0.0</v>
      </c>
      <c r="W1507" s="17" t="str">
        <f t="shared" si="158"/>
        <v>Данные не заполены</v>
      </c>
      <c r="X1507" s="14" t="str">
        <f t="shared" si="154"/>
        <v>Данные не заполены</v>
      </c>
      <c r="Y1507" s="15">
        <f t="shared" si="155"/>
        <v>0</v>
      </c>
    </row>
    <row r="1508" hidden="1">
      <c r="A1508" s="7">
        <v>44129.31740454861</v>
      </c>
      <c r="B1508" s="8" t="s">
        <v>126</v>
      </c>
      <c r="C1508" s="8">
        <v>21852.0</v>
      </c>
      <c r="D1508" s="8" t="s">
        <v>27</v>
      </c>
      <c r="E1508" s="8" t="s">
        <v>88</v>
      </c>
      <c r="G1508" s="8">
        <v>3804.0</v>
      </c>
      <c r="H1508" s="8" t="s">
        <v>45</v>
      </c>
      <c r="K1508" s="8" t="s">
        <v>52</v>
      </c>
      <c r="L1508" s="8" t="s">
        <v>37</v>
      </c>
      <c r="P1508" s="9">
        <v>44128.0</v>
      </c>
      <c r="Q1508" s="10">
        <v>0.4444444444452529</v>
      </c>
      <c r="R1508" s="11" t="str">
        <f t="shared" si="1"/>
        <v>Сборка на линии Sec</v>
      </c>
      <c r="S1508" s="12" t="str">
        <f>iferror(VLOOKUP(C1508,'ФИО'!A:B,2,0),"учётный код не найден")</f>
        <v>Пономарев Юрий Андреевич</v>
      </c>
      <c r="T1508" s="13" t="str">
        <f t="shared" si="2"/>
        <v>М17V2 (900-00018.D)_910-00023.H и ПУ 910-00012.I</v>
      </c>
      <c r="U1508" s="8">
        <v>0.0</v>
      </c>
      <c r="V1508" s="8">
        <v>0.0</v>
      </c>
      <c r="W1508" s="17" t="str">
        <f t="shared" si="158"/>
        <v>Данные не заполены</v>
      </c>
      <c r="X1508" s="14" t="str">
        <f t="shared" si="154"/>
        <v>Данные не заполены</v>
      </c>
      <c r="Y1508" s="15">
        <f t="shared" si="155"/>
        <v>0</v>
      </c>
    </row>
    <row r="1509" hidden="1">
      <c r="A1509" s="7">
        <v>44124.34244340278</v>
      </c>
      <c r="B1509" s="8" t="s">
        <v>126</v>
      </c>
      <c r="C1509" s="8">
        <v>21171.0</v>
      </c>
      <c r="D1509" s="8" t="s">
        <v>27</v>
      </c>
      <c r="E1509" s="8" t="s">
        <v>281</v>
      </c>
      <c r="G1509" s="8">
        <v>3754.0</v>
      </c>
      <c r="H1509" s="8" t="s">
        <v>45</v>
      </c>
      <c r="K1509" s="8" t="s">
        <v>124</v>
      </c>
      <c r="L1509" s="8" t="s">
        <v>31</v>
      </c>
      <c r="M1509" s="8" t="s">
        <v>34</v>
      </c>
      <c r="P1509" s="9">
        <v>44120.0</v>
      </c>
      <c r="Q1509" s="10">
        <v>0.16666666666424135</v>
      </c>
      <c r="R1509" s="11" t="str">
        <f t="shared" si="1"/>
        <v>Создание программы для AOI PRI</v>
      </c>
      <c r="S1509" s="16" t="str">
        <f>iferror(VLOOKUP(C1509,'ФИО'!A:B,2,0),"учётный код не найден")</f>
        <v>Муртищева Ольга Валентиновна</v>
      </c>
      <c r="T1509" s="13" t="str">
        <f t="shared" si="2"/>
        <v>ПУ 910-00120.D - Печатный узел модуля 2CAN+LIN</v>
      </c>
      <c r="U1509" s="8">
        <v>5745.0</v>
      </c>
      <c r="V1509" s="8">
        <v>1347.0</v>
      </c>
      <c r="X1509" s="14" t="str">
        <f t="shared" si="154"/>
        <v>Данные не заполены</v>
      </c>
      <c r="Y1509" s="15">
        <f t="shared" si="155"/>
        <v>0.234464752</v>
      </c>
    </row>
    <row r="1510" hidden="1">
      <c r="A1510" s="7">
        <v>44132.81781734954</v>
      </c>
      <c r="B1510" s="8" t="s">
        <v>127</v>
      </c>
      <c r="C1510" s="8">
        <v>22063.0</v>
      </c>
      <c r="D1510" s="8" t="s">
        <v>27</v>
      </c>
      <c r="E1510" s="8" t="s">
        <v>57</v>
      </c>
      <c r="G1510" s="8">
        <v>3802.0</v>
      </c>
      <c r="H1510" s="8" t="s">
        <v>45</v>
      </c>
      <c r="K1510" s="8" t="s">
        <v>120</v>
      </c>
      <c r="L1510" s="8" t="s">
        <v>31</v>
      </c>
      <c r="M1510" s="8" t="s">
        <v>34</v>
      </c>
      <c r="P1510" s="9">
        <v>44132.0</v>
      </c>
      <c r="Q1510" s="10">
        <v>0.013888888890505768</v>
      </c>
      <c r="R1510" s="11" t="str">
        <f t="shared" si="1"/>
        <v>Настройка линии Primary</v>
      </c>
      <c r="S1510" s="16" t="str">
        <f>iferror(VLOOKUP(C1510,'ФИО'!A:B,2,0),"учётный код не найден")</f>
        <v>Белоглазов Сергей Анатольевич</v>
      </c>
      <c r="T1510" s="11" t="str">
        <f t="shared" si="2"/>
        <v>М15ECO (900-00030.С) 910-00034.C/910-00041.C</v>
      </c>
      <c r="U1510" s="8">
        <v>1.0</v>
      </c>
      <c r="V1510" s="8">
        <v>0.0</v>
      </c>
      <c r="W1510" s="17" t="str">
        <f t="shared" ref="W1510:W1512" si="159">IFERROR((((38412/(ifs(O1510&lt;35,35,O1510&gt;34,O1510)/N1510)*0.7))),"Данные не заполены")</f>
        <v>Данные не заполены</v>
      </c>
      <c r="X1510" s="14" t="str">
        <f t="shared" si="154"/>
        <v>Данные не заполены</v>
      </c>
      <c r="Y1510" s="15">
        <f t="shared" si="155"/>
        <v>0</v>
      </c>
    </row>
    <row r="1511" hidden="1">
      <c r="A1511" s="7">
        <v>44124.82125648148</v>
      </c>
      <c r="B1511" s="8" t="s">
        <v>127</v>
      </c>
      <c r="C1511" s="8">
        <v>22063.0</v>
      </c>
      <c r="D1511" s="8" t="s">
        <v>27</v>
      </c>
      <c r="E1511" s="8" t="s">
        <v>101</v>
      </c>
      <c r="G1511" s="8">
        <v>3804.0</v>
      </c>
      <c r="H1511" s="8" t="s">
        <v>45</v>
      </c>
      <c r="K1511" s="8" t="s">
        <v>52</v>
      </c>
      <c r="L1511" s="8" t="s">
        <v>31</v>
      </c>
      <c r="M1511" s="8" t="s">
        <v>34</v>
      </c>
      <c r="P1511" s="9">
        <v>44124.0</v>
      </c>
      <c r="Q1511" s="10">
        <v>0.027777777781011537</v>
      </c>
      <c r="R1511" s="11" t="str">
        <f t="shared" si="1"/>
        <v>Настройка принтера Prim</v>
      </c>
      <c r="S1511" s="16" t="str">
        <f>iferror(VLOOKUP(C1511,'ФИО'!A:B,2,0),"учётный код не найден")</f>
        <v>Белоглазов Сергей Анатольевич</v>
      </c>
      <c r="T1511" s="11" t="str">
        <f t="shared" si="2"/>
        <v>М17V2 (900-00018.D)_910-00023.H и ПУ 910-00012.I</v>
      </c>
      <c r="U1511" s="8">
        <v>0.0</v>
      </c>
      <c r="V1511" s="8">
        <v>0.0</v>
      </c>
      <c r="W1511" s="17" t="str">
        <f t="shared" si="159"/>
        <v>Данные не заполены</v>
      </c>
      <c r="X1511" s="14" t="str">
        <f t="shared" si="154"/>
        <v>Данные не заполены</v>
      </c>
      <c r="Y1511" s="15">
        <f t="shared" si="155"/>
        <v>0</v>
      </c>
    </row>
    <row r="1512" hidden="1">
      <c r="A1512" s="7">
        <v>44132.81699056713</v>
      </c>
      <c r="B1512" s="8" t="s">
        <v>127</v>
      </c>
      <c r="C1512" s="8">
        <v>22063.0</v>
      </c>
      <c r="D1512" s="8" t="s">
        <v>27</v>
      </c>
      <c r="E1512" s="8" t="s">
        <v>101</v>
      </c>
      <c r="G1512" s="8">
        <v>3802.0</v>
      </c>
      <c r="H1512" s="8" t="s">
        <v>45</v>
      </c>
      <c r="K1512" s="8" t="s">
        <v>120</v>
      </c>
      <c r="L1512" s="8" t="s">
        <v>31</v>
      </c>
      <c r="M1512" s="8" t="s">
        <v>34</v>
      </c>
      <c r="P1512" s="9">
        <v>44132.0</v>
      </c>
      <c r="Q1512" s="10">
        <v>0.027777777781011537</v>
      </c>
      <c r="R1512" s="11" t="str">
        <f t="shared" si="1"/>
        <v>Настройка принтера Prim</v>
      </c>
      <c r="S1512" s="16" t="str">
        <f>iferror(VLOOKUP(C1512,'ФИО'!A:B,2,0),"учётный код не найден")</f>
        <v>Белоглазов Сергей Анатольевич</v>
      </c>
      <c r="T1512" s="11" t="str">
        <f t="shared" si="2"/>
        <v>М15ECO (900-00030.С) 910-00034.C/910-00041.C</v>
      </c>
      <c r="U1512" s="8">
        <v>0.0</v>
      </c>
      <c r="V1512" s="8">
        <v>0.0</v>
      </c>
      <c r="W1512" s="17" t="str">
        <f t="shared" si="159"/>
        <v>Данные не заполены</v>
      </c>
      <c r="X1512" s="14" t="str">
        <f t="shared" si="154"/>
        <v>Данные не заполены</v>
      </c>
      <c r="Y1512" s="15">
        <f t="shared" si="155"/>
        <v>0</v>
      </c>
    </row>
    <row r="1513" hidden="1">
      <c r="A1513" s="7">
        <v>44133.28328146991</v>
      </c>
      <c r="B1513" s="8" t="s">
        <v>38</v>
      </c>
      <c r="C1513" s="8">
        <v>50000.0</v>
      </c>
      <c r="D1513" s="8" t="s">
        <v>27</v>
      </c>
      <c r="E1513" s="8" t="s">
        <v>67</v>
      </c>
      <c r="G1513" s="8">
        <v>3802.0</v>
      </c>
      <c r="H1513" s="8" t="s">
        <v>45</v>
      </c>
      <c r="K1513" s="8" t="s">
        <v>120</v>
      </c>
      <c r="L1513" s="8" t="s">
        <v>37</v>
      </c>
      <c r="P1513" s="9">
        <v>44132.0</v>
      </c>
      <c r="Q1513" s="10">
        <v>0.004861111111111111</v>
      </c>
      <c r="R1513" s="11" t="str">
        <f t="shared" si="1"/>
        <v>Сборка на линии Prim</v>
      </c>
      <c r="S1513" s="12" t="str">
        <f>iferror(VLOOKUP(C1513,'ФИО'!A:B,2,0),"учётный код не найден")</f>
        <v>SMT</v>
      </c>
      <c r="T1513" s="13" t="str">
        <f t="shared" si="2"/>
        <v>М15ECO (900-00030.С) 910-00034.C/910-00041.C</v>
      </c>
      <c r="U1513" s="8">
        <v>20.0</v>
      </c>
      <c r="V1513" s="8">
        <v>0.0</v>
      </c>
      <c r="X1513" s="14" t="str">
        <f t="shared" si="154"/>
        <v>Данные не заполены</v>
      </c>
      <c r="Y1513" s="15">
        <f t="shared" si="155"/>
        <v>0</v>
      </c>
    </row>
    <row r="1514" hidden="1">
      <c r="A1514" s="7">
        <v>44133.2840496875</v>
      </c>
      <c r="B1514" s="8" t="s">
        <v>38</v>
      </c>
      <c r="C1514" s="8">
        <v>50000.0</v>
      </c>
      <c r="D1514" s="8" t="s">
        <v>27</v>
      </c>
      <c r="E1514" s="8" t="s">
        <v>88</v>
      </c>
      <c r="G1514" s="8">
        <v>3802.0</v>
      </c>
      <c r="H1514" s="8" t="s">
        <v>45</v>
      </c>
      <c r="K1514" s="8" t="s">
        <v>120</v>
      </c>
      <c r="L1514" s="8" t="s">
        <v>37</v>
      </c>
      <c r="P1514" s="9">
        <v>44132.0</v>
      </c>
      <c r="Q1514" s="10">
        <v>0.00555555555911269</v>
      </c>
      <c r="R1514" s="11" t="str">
        <f t="shared" si="1"/>
        <v>Сборка на линии Sec</v>
      </c>
      <c r="S1514" s="12" t="str">
        <f>iferror(VLOOKUP(C1514,'ФИО'!A:B,2,0),"учётный код не найден")</f>
        <v>SMT</v>
      </c>
      <c r="T1514" s="13" t="str">
        <f t="shared" si="2"/>
        <v>М15ECO (900-00030.С) 910-00034.C/910-00041.C</v>
      </c>
      <c r="U1514" s="8">
        <v>20.0</v>
      </c>
      <c r="V1514" s="8">
        <v>0.0</v>
      </c>
      <c r="X1514" s="14" t="str">
        <f t="shared" si="154"/>
        <v>Данные не заполены</v>
      </c>
      <c r="Y1514" s="15">
        <f t="shared" si="155"/>
        <v>0</v>
      </c>
    </row>
    <row r="1515" hidden="1">
      <c r="A1515" s="7">
        <v>44121.82515966435</v>
      </c>
      <c r="B1515" s="8" t="s">
        <v>26</v>
      </c>
      <c r="C1515" s="8">
        <v>22087.0</v>
      </c>
      <c r="D1515" s="8" t="s">
        <v>27</v>
      </c>
      <c r="E1515" s="8" t="s">
        <v>62</v>
      </c>
      <c r="G1515" s="8">
        <v>3754.0</v>
      </c>
      <c r="H1515" s="8" t="s">
        <v>45</v>
      </c>
      <c r="K1515" s="8" t="s">
        <v>124</v>
      </c>
      <c r="L1515" s="8" t="s">
        <v>31</v>
      </c>
      <c r="M1515" s="8" t="s">
        <v>34</v>
      </c>
      <c r="P1515" s="9">
        <v>44121.0</v>
      </c>
      <c r="Q1515" s="10">
        <v>0.16666666666424135</v>
      </c>
      <c r="R1515" s="11" t="str">
        <f t="shared" si="1"/>
        <v>ReviewStation pri</v>
      </c>
      <c r="S1515" s="16" t="str">
        <f>iferror(VLOOKUP(C1515,'ФИО'!A:B,2,0),"учётный код не найден")</f>
        <v>Хохряков Илья Александрович</v>
      </c>
      <c r="T1515" s="13" t="str">
        <f t="shared" si="2"/>
        <v>ПУ 910-00120.D - Печатный узел модуля 2CAN+LIN</v>
      </c>
      <c r="U1515" s="8">
        <v>0.0</v>
      </c>
      <c r="V1515" s="8">
        <v>1856.0</v>
      </c>
      <c r="W1515" s="17" t="str">
        <f>IFERROR((((38412/(ifs(O1515&lt;35,35,O1515&gt;34,O1515)/N1515)*0.7))),"Данные не заполены")</f>
        <v>Данные не заполены</v>
      </c>
      <c r="X1515" s="14" t="str">
        <f t="shared" si="154"/>
        <v>Данные не заполены</v>
      </c>
      <c r="Y1515" s="15">
        <f t="shared" si="155"/>
        <v>1856</v>
      </c>
      <c r="Z1515" s="8" t="s">
        <v>64</v>
      </c>
    </row>
    <row r="1516" hidden="1">
      <c r="A1516" s="7">
        <v>44133.312329189816</v>
      </c>
      <c r="B1516" s="8" t="s">
        <v>38</v>
      </c>
      <c r="C1516" s="8">
        <v>22087.0</v>
      </c>
      <c r="D1516" s="8" t="s">
        <v>27</v>
      </c>
      <c r="E1516" s="8" t="s">
        <v>62</v>
      </c>
      <c r="G1516" s="8">
        <v>3237.0</v>
      </c>
      <c r="H1516" s="8" t="s">
        <v>29</v>
      </c>
      <c r="I1516" s="8" t="s">
        <v>56</v>
      </c>
      <c r="L1516" s="8" t="s">
        <v>31</v>
      </c>
      <c r="M1516" s="8" t="s">
        <v>34</v>
      </c>
      <c r="P1516" s="9">
        <v>44132.0</v>
      </c>
      <c r="Q1516" s="10">
        <v>0.08333333333575865</v>
      </c>
      <c r="R1516" s="11" t="str">
        <f t="shared" si="1"/>
        <v>ReviewStation pri</v>
      </c>
      <c r="S1516" s="12" t="str">
        <f>iferror(VLOOKUP(C1516,'ФИО'!A:B,2,0),"учётный код не найден")</f>
        <v>Хохряков Илья Александрович</v>
      </c>
      <c r="T1516" s="13" t="str">
        <f t="shared" si="2"/>
        <v>915-00098.А - ПКБУИК-38 АСЛБ.465122.020 (Квант)</v>
      </c>
      <c r="U1516" s="8">
        <v>0.0</v>
      </c>
      <c r="V1516" s="8">
        <v>24.0</v>
      </c>
      <c r="X1516" s="14" t="str">
        <f t="shared" si="154"/>
        <v>Данные не заполены</v>
      </c>
      <c r="Y1516" s="15">
        <f t="shared" si="155"/>
        <v>24</v>
      </c>
      <c r="Z1516" s="8" t="s">
        <v>313</v>
      </c>
    </row>
    <row r="1517" hidden="1">
      <c r="A1517" s="7">
        <v>44133.312362662036</v>
      </c>
      <c r="B1517" s="8" t="s">
        <v>38</v>
      </c>
      <c r="C1517" s="8">
        <v>22087.0</v>
      </c>
      <c r="D1517" s="8" t="s">
        <v>27</v>
      </c>
      <c r="E1517" s="8" t="s">
        <v>62</v>
      </c>
      <c r="G1517" s="8">
        <v>3621.0</v>
      </c>
      <c r="H1517" s="8" t="s">
        <v>29</v>
      </c>
      <c r="I1517" s="8" t="s">
        <v>30</v>
      </c>
      <c r="L1517" s="8" t="s">
        <v>31</v>
      </c>
      <c r="M1517" s="8" t="s">
        <v>34</v>
      </c>
      <c r="P1517" s="9">
        <v>44132.0</v>
      </c>
      <c r="Q1517" s="10">
        <v>0.08333333333575865</v>
      </c>
      <c r="R1517" s="11" t="str">
        <f t="shared" si="1"/>
        <v>ReviewStation pri</v>
      </c>
      <c r="S1517" s="12" t="str">
        <f>iferror(VLOOKUP(C1517,'ФИО'!A:B,2,0),"учётный код не найден")</f>
        <v>Хохряков Илья Александрович</v>
      </c>
      <c r="T1517" s="13" t="str">
        <f t="shared" si="2"/>
        <v>915-00121.A - Процессорный модуль РСЕН.469555.027 (КНС Групп) в ТС</v>
      </c>
      <c r="U1517" s="8">
        <v>0.0</v>
      </c>
      <c r="V1517" s="8">
        <v>23.0</v>
      </c>
      <c r="X1517" s="14" t="str">
        <f t="shared" si="154"/>
        <v>Данные не заполены</v>
      </c>
      <c r="Y1517" s="15">
        <f t="shared" si="155"/>
        <v>23</v>
      </c>
      <c r="Z1517" s="8" t="s">
        <v>313</v>
      </c>
    </row>
    <row r="1518" hidden="1">
      <c r="A1518" s="7">
        <v>44124.32798935185</v>
      </c>
      <c r="B1518" s="8" t="s">
        <v>38</v>
      </c>
      <c r="C1518" s="8">
        <v>22087.0</v>
      </c>
      <c r="D1518" s="8" t="s">
        <v>27</v>
      </c>
      <c r="E1518" s="8" t="s">
        <v>244</v>
      </c>
      <c r="G1518" s="8">
        <v>3754.0</v>
      </c>
      <c r="H1518" s="8" t="s">
        <v>45</v>
      </c>
      <c r="K1518" s="8" t="s">
        <v>124</v>
      </c>
      <c r="L1518" s="8" t="s">
        <v>31</v>
      </c>
      <c r="M1518" s="8" t="s">
        <v>34</v>
      </c>
      <c r="P1518" s="9">
        <v>44123.0</v>
      </c>
      <c r="Q1518" s="10">
        <v>0.1875</v>
      </c>
      <c r="R1518" s="11" t="str">
        <f t="shared" si="1"/>
        <v>ReviewStation sec</v>
      </c>
      <c r="S1518" s="16" t="str">
        <f>iferror(VLOOKUP(C1518,'ФИО'!A:B,2,0),"учётный код не найден")</f>
        <v>Хохряков Илья Александрович</v>
      </c>
      <c r="T1518" s="13" t="str">
        <f t="shared" si="2"/>
        <v>ПУ 910-00120.D - Печатный узел модуля 2CAN+LIN</v>
      </c>
      <c r="U1518" s="8">
        <v>0.0</v>
      </c>
      <c r="V1518" s="8">
        <v>2592.0</v>
      </c>
      <c r="X1518" s="14" t="str">
        <f t="shared" si="154"/>
        <v>Данные не заполены</v>
      </c>
      <c r="Y1518" s="15">
        <f t="shared" si="155"/>
        <v>2592</v>
      </c>
      <c r="Z1518" s="8" t="s">
        <v>64</v>
      </c>
    </row>
    <row r="1519" hidden="1">
      <c r="A1519" s="7">
        <v>44112.82924453703</v>
      </c>
      <c r="B1519" s="8" t="s">
        <v>26</v>
      </c>
      <c r="C1519" s="8">
        <v>21475.0</v>
      </c>
      <c r="D1519" s="8" t="s">
        <v>27</v>
      </c>
      <c r="E1519" s="8" t="s">
        <v>62</v>
      </c>
      <c r="G1519" s="8">
        <v>3726.0</v>
      </c>
      <c r="H1519" s="8" t="s">
        <v>45</v>
      </c>
      <c r="K1519" s="8" t="s">
        <v>58</v>
      </c>
      <c r="L1519" s="8" t="s">
        <v>37</v>
      </c>
      <c r="P1519" s="9">
        <v>44112.0</v>
      </c>
      <c r="Q1519" s="10">
        <v>0.020833333335758653</v>
      </c>
      <c r="R1519" s="11" t="str">
        <f t="shared" si="1"/>
        <v>ReviewStation pri</v>
      </c>
      <c r="S1519" s="16" t="str">
        <f>iferror(VLOOKUP(C1519,'ФИО'!A:B,2,0),"учётный код не найден")</f>
        <v>Байрамашвили Альберт Зурабович</v>
      </c>
      <c r="T1519" s="13" t="str">
        <f t="shared" si="2"/>
        <v>ПУ метки i95</v>
      </c>
      <c r="U1519" s="8">
        <v>260.0</v>
      </c>
      <c r="V1519" s="8">
        <v>52.0</v>
      </c>
      <c r="W1519" s="21" t="str">
        <f>IFERROR((((38412/(ifs(O1519&lt;35,35,O1519&gt;34,O1519)/N1519)*0.7))),"Данные не заполены")</f>
        <v>Данные не заполены</v>
      </c>
      <c r="X1519" s="15" t="str">
        <f t="shared" si="154"/>
        <v>Данные не заполены</v>
      </c>
      <c r="Y1519" s="15">
        <f t="shared" si="155"/>
        <v>0.2</v>
      </c>
      <c r="Z1519" s="8" t="s">
        <v>64</v>
      </c>
    </row>
    <row r="1520" hidden="1">
      <c r="A1520" s="7">
        <v>44129.825041828706</v>
      </c>
      <c r="B1520" s="8" t="s">
        <v>26</v>
      </c>
      <c r="C1520" s="8">
        <v>21522.0</v>
      </c>
      <c r="D1520" s="8" t="s">
        <v>27</v>
      </c>
      <c r="E1520" s="8" t="s">
        <v>67</v>
      </c>
      <c r="G1520" s="8">
        <v>3421.0</v>
      </c>
      <c r="H1520" s="8" t="s">
        <v>29</v>
      </c>
      <c r="I1520" s="8" t="s">
        <v>54</v>
      </c>
      <c r="L1520" s="8" t="s">
        <v>37</v>
      </c>
      <c r="P1520" s="9">
        <v>44129.0</v>
      </c>
      <c r="Q1520" s="10">
        <v>0.04166666666424135</v>
      </c>
      <c r="R1520" s="11" t="str">
        <f t="shared" si="1"/>
        <v>Сборка на линии Prim</v>
      </c>
      <c r="S1520" s="12" t="str">
        <f>iferror(VLOOKUP(C1520,'ФИО'!A:B,2,0),"учётный код не найден")</f>
        <v>Исаев Никита Дмитриевич</v>
      </c>
      <c r="T1520" s="13" t="str">
        <f t="shared" si="2"/>
        <v>915-00121.A - Процессорный модуль РСЕН.469555.027 (КНС Групп)</v>
      </c>
      <c r="U1520" s="8">
        <v>0.0</v>
      </c>
      <c r="V1520" s="8">
        <v>0.0</v>
      </c>
      <c r="X1520" s="14" t="str">
        <f t="shared" si="154"/>
        <v>Данные не заполены</v>
      </c>
      <c r="Y1520" s="15">
        <f t="shared" si="155"/>
        <v>0</v>
      </c>
    </row>
    <row r="1521" hidden="1">
      <c r="A1521" s="7">
        <v>44132.31546650463</v>
      </c>
      <c r="B1521" s="8" t="s">
        <v>38</v>
      </c>
      <c r="C1521" s="8">
        <v>21522.0</v>
      </c>
      <c r="D1521" s="8" t="s">
        <v>27</v>
      </c>
      <c r="E1521" s="8" t="s">
        <v>67</v>
      </c>
      <c r="G1521" s="8">
        <v>3621.0</v>
      </c>
      <c r="H1521" s="8" t="s">
        <v>29</v>
      </c>
      <c r="I1521" s="8" t="s">
        <v>54</v>
      </c>
      <c r="L1521" s="8" t="s">
        <v>37</v>
      </c>
      <c r="P1521" s="9">
        <v>44131.0</v>
      </c>
      <c r="Q1521" s="10">
        <v>0.41666666666424135</v>
      </c>
      <c r="R1521" s="11" t="str">
        <f t="shared" si="1"/>
        <v>Сборка на линии Prim</v>
      </c>
      <c r="S1521" s="12" t="str">
        <f>iferror(VLOOKUP(C1521,'ФИО'!A:B,2,0),"учётный код не найден")</f>
        <v>Исаев Никита Дмитриевич</v>
      </c>
      <c r="T1521" s="13" t="str">
        <f t="shared" si="2"/>
        <v>915-00121.A - Процессорный модуль РСЕН.469555.027 (КНС Групп)</v>
      </c>
      <c r="U1521" s="8">
        <v>0.0</v>
      </c>
      <c r="V1521" s="8">
        <v>0.0</v>
      </c>
      <c r="X1521" s="14" t="str">
        <f t="shared" si="154"/>
        <v>Данные не заполены</v>
      </c>
      <c r="Y1521" s="15">
        <f t="shared" si="155"/>
        <v>0</v>
      </c>
    </row>
    <row r="1522" hidden="1">
      <c r="A1522" s="7">
        <v>44133.31616398148</v>
      </c>
      <c r="B1522" s="8" t="s">
        <v>38</v>
      </c>
      <c r="C1522" s="8">
        <v>21522.0</v>
      </c>
      <c r="D1522" s="8" t="s">
        <v>27</v>
      </c>
      <c r="E1522" s="8" t="s">
        <v>67</v>
      </c>
      <c r="G1522" s="8">
        <v>3802.0</v>
      </c>
      <c r="H1522" s="8" t="s">
        <v>45</v>
      </c>
      <c r="K1522" s="8" t="s">
        <v>120</v>
      </c>
      <c r="L1522" s="8" t="s">
        <v>37</v>
      </c>
      <c r="P1522" s="9">
        <v>44132.0</v>
      </c>
      <c r="Q1522" s="10">
        <v>0.020833333335758653</v>
      </c>
      <c r="R1522" s="11" t="str">
        <f t="shared" si="1"/>
        <v>Сборка на линии Prim</v>
      </c>
      <c r="S1522" s="12" t="str">
        <f>iferror(VLOOKUP(C1522,'ФИО'!A:B,2,0),"учётный код не найден")</f>
        <v>Исаев Никита Дмитриевич</v>
      </c>
      <c r="T1522" s="13" t="str">
        <f t="shared" si="2"/>
        <v>М15ECO (900-00030.С) 910-00034.C/910-00041.C</v>
      </c>
      <c r="U1522" s="8">
        <v>0.0</v>
      </c>
      <c r="V1522" s="8">
        <v>0.0</v>
      </c>
      <c r="X1522" s="14" t="str">
        <f t="shared" si="154"/>
        <v>Данные не заполены</v>
      </c>
      <c r="Y1522" s="15">
        <f t="shared" si="155"/>
        <v>0</v>
      </c>
    </row>
    <row r="1523" hidden="1">
      <c r="A1523" s="7">
        <v>44125.31571417824</v>
      </c>
      <c r="B1523" s="8" t="s">
        <v>38</v>
      </c>
      <c r="C1523" s="8">
        <v>21522.0</v>
      </c>
      <c r="D1523" s="8" t="s">
        <v>27</v>
      </c>
      <c r="E1523" s="8" t="s">
        <v>88</v>
      </c>
      <c r="G1523" s="8">
        <v>3804.0</v>
      </c>
      <c r="H1523" s="8" t="s">
        <v>45</v>
      </c>
      <c r="K1523" s="8" t="s">
        <v>52</v>
      </c>
      <c r="L1523" s="8" t="s">
        <v>37</v>
      </c>
      <c r="P1523" s="9">
        <v>44124.0</v>
      </c>
      <c r="Q1523" s="10">
        <v>0.04166666666424135</v>
      </c>
      <c r="R1523" s="11" t="str">
        <f t="shared" si="1"/>
        <v>Сборка на линии Sec</v>
      </c>
      <c r="S1523" s="16" t="str">
        <f>iferror(VLOOKUP(C1523,'ФИО'!A:B,2,0),"учётный код не найден")</f>
        <v>Исаев Никита Дмитриевич</v>
      </c>
      <c r="T1523" s="13" t="str">
        <f t="shared" si="2"/>
        <v>М17V2 (900-00018.D)_910-00023.H и ПУ 910-00012.I</v>
      </c>
      <c r="U1523" s="8">
        <v>0.0</v>
      </c>
      <c r="V1523" s="8">
        <v>0.0</v>
      </c>
      <c r="X1523" s="14" t="str">
        <f t="shared" si="154"/>
        <v>Данные не заполены</v>
      </c>
      <c r="Y1523" s="15">
        <f t="shared" si="155"/>
        <v>0</v>
      </c>
    </row>
    <row r="1524" hidden="1">
      <c r="A1524" s="7">
        <v>44128.81749966435</v>
      </c>
      <c r="B1524" s="8" t="s">
        <v>26</v>
      </c>
      <c r="C1524" s="8">
        <v>21522.0</v>
      </c>
      <c r="D1524" s="8" t="s">
        <v>27</v>
      </c>
      <c r="E1524" s="8" t="s">
        <v>88</v>
      </c>
      <c r="G1524" s="8">
        <v>3804.0</v>
      </c>
      <c r="H1524" s="8" t="s">
        <v>45</v>
      </c>
      <c r="K1524" s="8" t="s">
        <v>52</v>
      </c>
      <c r="L1524" s="8" t="s">
        <v>37</v>
      </c>
      <c r="P1524" s="9">
        <v>44128.0</v>
      </c>
      <c r="Q1524" s="10">
        <v>0.45833333333575865</v>
      </c>
      <c r="R1524" s="11" t="str">
        <f t="shared" si="1"/>
        <v>Сборка на линии Sec</v>
      </c>
      <c r="S1524" s="16" t="str">
        <f>iferror(VLOOKUP(C1524,'ФИО'!A:B,2,0),"учётный код не найден")</f>
        <v>Исаев Никита Дмитриевич</v>
      </c>
      <c r="T1524" s="13" t="str">
        <f t="shared" si="2"/>
        <v>М17V2 (900-00018.D)_910-00023.H и ПУ 910-00012.I</v>
      </c>
      <c r="U1524" s="8">
        <v>0.0</v>
      </c>
      <c r="V1524" s="8">
        <v>0.0</v>
      </c>
      <c r="X1524" s="14" t="str">
        <f t="shared" si="154"/>
        <v>Данные не заполены</v>
      </c>
      <c r="Y1524" s="15">
        <f t="shared" si="155"/>
        <v>0</v>
      </c>
    </row>
    <row r="1525" hidden="1">
      <c r="A1525" s="7">
        <v>44129.82496353009</v>
      </c>
      <c r="B1525" s="8" t="s">
        <v>26</v>
      </c>
      <c r="C1525" s="8">
        <v>21522.0</v>
      </c>
      <c r="D1525" s="8" t="s">
        <v>27</v>
      </c>
      <c r="E1525" s="8" t="s">
        <v>88</v>
      </c>
      <c r="G1525" s="8">
        <v>3804.0</v>
      </c>
      <c r="H1525" s="8" t="s">
        <v>45</v>
      </c>
      <c r="K1525" s="8" t="s">
        <v>52</v>
      </c>
      <c r="L1525" s="8" t="s">
        <v>37</v>
      </c>
      <c r="P1525" s="9">
        <v>44129.0</v>
      </c>
      <c r="Q1525" s="10">
        <v>0.0625</v>
      </c>
      <c r="R1525" s="11" t="str">
        <f t="shared" si="1"/>
        <v>Сборка на линии Sec</v>
      </c>
      <c r="S1525" s="12" t="str">
        <f>iferror(VLOOKUP(C1525,'ФИО'!A:B,2,0),"учётный код не найден")</f>
        <v>Исаев Никита Дмитриевич</v>
      </c>
      <c r="T1525" s="13" t="str">
        <f t="shared" si="2"/>
        <v>М17V2 (900-00018.D)_910-00023.H и ПУ 910-00012.I</v>
      </c>
      <c r="U1525" s="8">
        <v>0.0</v>
      </c>
      <c r="V1525" s="8">
        <v>0.0</v>
      </c>
      <c r="X1525" s="14" t="str">
        <f t="shared" si="154"/>
        <v>Данные не заполены</v>
      </c>
      <c r="Y1525" s="15">
        <f t="shared" si="155"/>
        <v>0</v>
      </c>
    </row>
    <row r="1526" hidden="1">
      <c r="A1526" s="7">
        <v>44133.31620059028</v>
      </c>
      <c r="B1526" s="8" t="s">
        <v>38</v>
      </c>
      <c r="C1526" s="8">
        <v>21522.0</v>
      </c>
      <c r="D1526" s="8" t="s">
        <v>27</v>
      </c>
      <c r="E1526" s="8" t="s">
        <v>88</v>
      </c>
      <c r="G1526" s="8">
        <v>3802.0</v>
      </c>
      <c r="H1526" s="8" t="s">
        <v>45</v>
      </c>
      <c r="K1526" s="8" t="s">
        <v>120</v>
      </c>
      <c r="L1526" s="8" t="s">
        <v>37</v>
      </c>
      <c r="P1526" s="9">
        <v>44132.0</v>
      </c>
      <c r="Q1526" s="10">
        <v>0.020833333335758653</v>
      </c>
      <c r="R1526" s="11" t="str">
        <f t="shared" si="1"/>
        <v>Сборка на линии Sec</v>
      </c>
      <c r="S1526" s="12" t="str">
        <f>iferror(VLOOKUP(C1526,'ФИО'!A:B,2,0),"учётный код не найден")</f>
        <v>Исаев Никита Дмитриевич</v>
      </c>
      <c r="T1526" s="13" t="str">
        <f t="shared" si="2"/>
        <v>М15ECO (900-00030.С) 910-00034.C/910-00041.C</v>
      </c>
      <c r="U1526" s="8">
        <v>0.0</v>
      </c>
      <c r="V1526" s="8">
        <v>0.0</v>
      </c>
      <c r="X1526" s="14" t="str">
        <f t="shared" si="154"/>
        <v>Данные не заполены</v>
      </c>
      <c r="Y1526" s="15">
        <f t="shared" si="155"/>
        <v>0</v>
      </c>
    </row>
    <row r="1527" hidden="1">
      <c r="A1527" s="7">
        <v>44105.830572349536</v>
      </c>
      <c r="B1527" s="8" t="s">
        <v>26</v>
      </c>
      <c r="C1527" s="8">
        <v>21522.0</v>
      </c>
      <c r="D1527" s="18" t="s">
        <v>69</v>
      </c>
      <c r="F1527" s="8" t="s">
        <v>305</v>
      </c>
      <c r="G1527" s="18">
        <v>3370.0</v>
      </c>
      <c r="H1527" s="8" t="s">
        <v>29</v>
      </c>
      <c r="I1527" s="8" t="s">
        <v>73</v>
      </c>
      <c r="L1527" s="18" t="s">
        <v>37</v>
      </c>
      <c r="P1527" s="19">
        <v>44105.0</v>
      </c>
      <c r="Q1527" s="20">
        <v>0.020833333335758653</v>
      </c>
      <c r="R1527" s="13" t="str">
        <f t="shared" si="1"/>
        <v>Установка компонентов  на платы (ручная) SEC</v>
      </c>
      <c r="S1527" s="16" t="str">
        <f>iferror(VLOOKUP(C1527,'ФИО'!A:B,2,0),"учётный код не найден")</f>
        <v>Исаев Никита Дмитриевич</v>
      </c>
      <c r="T1527" s="13" t="str">
        <f t="shared" si="2"/>
        <v>915-00114.A - ПБЭС-37П АСЛБ.467291.010-01 (Квант)</v>
      </c>
      <c r="U1527" s="8">
        <v>27.0</v>
      </c>
      <c r="V1527" s="8">
        <v>0.0</v>
      </c>
      <c r="W1527" s="21" t="str">
        <f>IFERROR((((38412/(ifs(O1527&lt;35,35,O1527&gt;34,O1527)/N1527)*0.7))),"Данные не заполены")</f>
        <v>Данные не заполены</v>
      </c>
      <c r="X1527" s="15" t="str">
        <f t="shared" si="154"/>
        <v>Данные не заполены</v>
      </c>
      <c r="Y1527" s="15">
        <f t="shared" si="155"/>
        <v>0</v>
      </c>
    </row>
    <row r="1528" hidden="1">
      <c r="A1528" s="7">
        <v>44125.32011710649</v>
      </c>
      <c r="B1528" s="8" t="s">
        <v>38</v>
      </c>
      <c r="C1528" s="8">
        <v>21475.0</v>
      </c>
      <c r="D1528" s="8" t="s">
        <v>27</v>
      </c>
      <c r="E1528" s="8" t="s">
        <v>62</v>
      </c>
      <c r="G1528" s="8">
        <v>3253.0</v>
      </c>
      <c r="H1528" s="8" t="s">
        <v>29</v>
      </c>
      <c r="I1528" s="8" t="s">
        <v>95</v>
      </c>
      <c r="L1528" s="8" t="s">
        <v>37</v>
      </c>
      <c r="P1528" s="9">
        <v>44124.0</v>
      </c>
      <c r="Q1528" s="10">
        <v>0.04166666666424135</v>
      </c>
      <c r="R1528" s="11" t="str">
        <f t="shared" si="1"/>
        <v>ReviewStation pri</v>
      </c>
      <c r="S1528" s="16" t="str">
        <f>iferror(VLOOKUP(C1528,'ФИО'!A:B,2,0),"учётный код не найден")</f>
        <v>Байрамашвили Альберт Зурабович</v>
      </c>
      <c r="T1528" s="13" t="str">
        <f t="shared" si="2"/>
        <v>915-00095.A - ПКД-8В-1 АСЛБ.467249.108 (Квант)</v>
      </c>
      <c r="U1528" s="8">
        <v>0.0</v>
      </c>
      <c r="V1528" s="8">
        <v>6.0</v>
      </c>
      <c r="X1528" s="14" t="str">
        <f t="shared" si="154"/>
        <v>Данные не заполены</v>
      </c>
      <c r="Y1528" s="15">
        <f t="shared" si="155"/>
        <v>6</v>
      </c>
      <c r="Z1528" s="8" t="s">
        <v>64</v>
      </c>
    </row>
    <row r="1529" hidden="1">
      <c r="A1529" s="7">
        <v>44125.320835335646</v>
      </c>
      <c r="B1529" s="8" t="s">
        <v>38</v>
      </c>
      <c r="C1529" s="8">
        <v>21475.0</v>
      </c>
      <c r="D1529" s="8" t="s">
        <v>27</v>
      </c>
      <c r="E1529" s="8" t="s">
        <v>62</v>
      </c>
      <c r="G1529" s="8">
        <v>3252.0</v>
      </c>
      <c r="H1529" s="8" t="s">
        <v>29</v>
      </c>
      <c r="I1529" s="8" t="s">
        <v>96</v>
      </c>
      <c r="L1529" s="8" t="s">
        <v>37</v>
      </c>
      <c r="P1529" s="9">
        <v>44124.0</v>
      </c>
      <c r="Q1529" s="10">
        <v>0.020833333335758653</v>
      </c>
      <c r="R1529" s="11" t="str">
        <f t="shared" si="1"/>
        <v>ReviewStation pri</v>
      </c>
      <c r="S1529" s="16" t="str">
        <f>iferror(VLOOKUP(C1529,'ФИО'!A:B,2,0),"учётный код не найден")</f>
        <v>Байрамашвили Альберт Зурабович</v>
      </c>
      <c r="T1529" s="13" t="str">
        <f t="shared" si="2"/>
        <v>915-00096.A - ПКД-8В-2 АСЛБ.467249.109</v>
      </c>
      <c r="U1529" s="8">
        <v>0.0</v>
      </c>
      <c r="V1529" s="8">
        <v>2.0</v>
      </c>
      <c r="X1529" s="14" t="str">
        <f t="shared" si="154"/>
        <v>Данные не заполены</v>
      </c>
      <c r="Y1529" s="15">
        <f t="shared" si="155"/>
        <v>2</v>
      </c>
      <c r="Z1529" s="8" t="s">
        <v>64</v>
      </c>
    </row>
    <row r="1530" hidden="1">
      <c r="A1530" s="7">
        <v>44113.865037118056</v>
      </c>
      <c r="B1530" s="8" t="s">
        <v>26</v>
      </c>
      <c r="C1530" s="8">
        <v>21752.0</v>
      </c>
      <c r="D1530" s="8" t="s">
        <v>27</v>
      </c>
      <c r="E1530" s="8" t="s">
        <v>62</v>
      </c>
      <c r="G1530" s="8">
        <v>3580.0</v>
      </c>
      <c r="H1530" s="8" t="s">
        <v>29</v>
      </c>
      <c r="I1530" s="8" t="s">
        <v>146</v>
      </c>
      <c r="L1530" s="8" t="s">
        <v>37</v>
      </c>
      <c r="P1530" s="9">
        <v>44113.0</v>
      </c>
      <c r="Q1530" s="10">
        <v>0.10416666666424135</v>
      </c>
      <c r="R1530" s="11" t="str">
        <f t="shared" si="1"/>
        <v>ReviewStation pri</v>
      </c>
      <c r="S1530" s="16" t="str">
        <f>iferror(VLOOKUP(C1530,'ФИО'!A:B,2,0),"учётный код не найден")</f>
        <v>Егоров Александр Александрович</v>
      </c>
      <c r="T1530" s="13" t="str">
        <f t="shared" si="2"/>
        <v>XR (Термотроник)</v>
      </c>
      <c r="U1530" s="8">
        <v>0.0</v>
      </c>
      <c r="V1530" s="8">
        <v>0.0</v>
      </c>
      <c r="W1530" s="21" t="str">
        <f>IFERROR((((38412/(ifs(O1530&lt;35,35,O1530&gt;34,O1530)/N1530)*0.7))),"Данные не заполены")</f>
        <v>Данные не заполены</v>
      </c>
      <c r="X1530" s="15" t="str">
        <f t="shared" si="154"/>
        <v>Данные не заполены</v>
      </c>
      <c r="Y1530" s="15">
        <f t="shared" si="155"/>
        <v>0</v>
      </c>
    </row>
    <row r="1531" hidden="1">
      <c r="A1531" s="7">
        <v>44128.81663598379</v>
      </c>
      <c r="B1531" s="8" t="s">
        <v>26</v>
      </c>
      <c r="C1531" s="8">
        <v>21475.0</v>
      </c>
      <c r="D1531" s="8" t="s">
        <v>27</v>
      </c>
      <c r="E1531" s="8" t="s">
        <v>62</v>
      </c>
      <c r="G1531" s="8">
        <v>3253.0</v>
      </c>
      <c r="H1531" s="8" t="s">
        <v>29</v>
      </c>
      <c r="I1531" s="8" t="s">
        <v>95</v>
      </c>
      <c r="L1531" s="8" t="s">
        <v>37</v>
      </c>
      <c r="P1531" s="9">
        <v>44128.0</v>
      </c>
      <c r="Q1531" s="10">
        <v>0.125</v>
      </c>
      <c r="R1531" s="11" t="str">
        <f t="shared" si="1"/>
        <v>ReviewStation pri</v>
      </c>
      <c r="S1531" s="16" t="str">
        <f>iferror(VLOOKUP(C1531,'ФИО'!A:B,2,0),"учётный код не найден")</f>
        <v>Байрамашвили Альберт Зурабович</v>
      </c>
      <c r="T1531" s="13" t="str">
        <f t="shared" si="2"/>
        <v>915-00095.A - ПКД-8В-1 АСЛБ.467249.108 (Квант)</v>
      </c>
      <c r="U1531" s="8">
        <v>0.0</v>
      </c>
      <c r="V1531" s="8">
        <v>31.0</v>
      </c>
      <c r="X1531" s="14" t="str">
        <f t="shared" si="154"/>
        <v>Данные не заполены</v>
      </c>
      <c r="Y1531" s="15">
        <f t="shared" si="155"/>
        <v>31</v>
      </c>
      <c r="Z1531" s="8" t="s">
        <v>64</v>
      </c>
    </row>
    <row r="1532" hidden="1">
      <c r="A1532" s="7">
        <v>44109.321012141205</v>
      </c>
      <c r="B1532" s="8" t="s">
        <v>38</v>
      </c>
      <c r="C1532" s="8">
        <v>21475.0</v>
      </c>
      <c r="D1532" s="8" t="s">
        <v>27</v>
      </c>
      <c r="E1532" s="8" t="s">
        <v>244</v>
      </c>
      <c r="G1532" s="8">
        <v>3706.0</v>
      </c>
      <c r="H1532" s="8" t="s">
        <v>45</v>
      </c>
      <c r="K1532" s="8" t="s">
        <v>91</v>
      </c>
      <c r="L1532" s="8" t="s">
        <v>31</v>
      </c>
      <c r="M1532" s="8" t="s">
        <v>34</v>
      </c>
      <c r="N1532" s="8"/>
      <c r="O1532" s="8"/>
      <c r="P1532" s="9">
        <v>44108.0</v>
      </c>
      <c r="Q1532" s="10">
        <v>0.10416666666424135</v>
      </c>
      <c r="R1532" s="11" t="str">
        <f t="shared" si="1"/>
        <v>ReviewStation sec</v>
      </c>
      <c r="S1532" s="16" t="str">
        <f>iferror(VLOOKUP(C1532,'ФИО'!A:B,2,0),"учётный код не найден")</f>
        <v>Байрамашвили Альберт Зурабович</v>
      </c>
      <c r="T1532" s="13" t="str">
        <f t="shared" si="2"/>
        <v>ПУ Сигма 10/15 910-00080.D</v>
      </c>
      <c r="U1532" s="8">
        <v>275.0</v>
      </c>
      <c r="V1532" s="8">
        <v>253.0</v>
      </c>
      <c r="W1532" s="21" t="str">
        <f t="shared" ref="W1532:W1533" si="160">IFERROR((((38412/(ifs(O1532&lt;35,35,O1532&gt;34,O1532)/N1532)*0.7))),"Данные не заполены")</f>
        <v>Данные не заполены</v>
      </c>
      <c r="X1532" s="15" t="str">
        <f t="shared" si="154"/>
        <v>Данные не заполены</v>
      </c>
      <c r="Y1532" s="15">
        <f t="shared" si="155"/>
        <v>0.92</v>
      </c>
      <c r="Z1532" s="8" t="s">
        <v>64</v>
      </c>
    </row>
    <row r="1533" hidden="1">
      <c r="A1533" s="7">
        <v>44113.865479224536</v>
      </c>
      <c r="B1533" s="8" t="s">
        <v>26</v>
      </c>
      <c r="C1533" s="8">
        <v>21752.0</v>
      </c>
      <c r="D1533" s="8" t="s">
        <v>27</v>
      </c>
      <c r="E1533" s="8" t="s">
        <v>62</v>
      </c>
      <c r="G1533" s="8">
        <v>3726.0</v>
      </c>
      <c r="H1533" s="8" t="s">
        <v>45</v>
      </c>
      <c r="K1533" s="8" t="s">
        <v>58</v>
      </c>
      <c r="L1533" s="8" t="s">
        <v>37</v>
      </c>
      <c r="P1533" s="9">
        <v>44113.0</v>
      </c>
      <c r="Q1533" s="10">
        <v>0.10416666666424135</v>
      </c>
      <c r="R1533" s="11" t="str">
        <f t="shared" si="1"/>
        <v>ReviewStation pri</v>
      </c>
      <c r="S1533" s="16" t="str">
        <f>iferror(VLOOKUP(C1533,'ФИО'!A:B,2,0),"учётный код не найден")</f>
        <v>Егоров Александр Александрович</v>
      </c>
      <c r="T1533" s="13" t="str">
        <f t="shared" si="2"/>
        <v>ПУ метки i95</v>
      </c>
      <c r="U1533" s="8">
        <v>0.0</v>
      </c>
      <c r="V1533" s="8">
        <v>0.0</v>
      </c>
      <c r="W1533" s="21" t="str">
        <f t="shared" si="160"/>
        <v>Данные не заполены</v>
      </c>
      <c r="X1533" s="15" t="str">
        <f t="shared" si="154"/>
        <v>Данные не заполены</v>
      </c>
      <c r="Y1533" s="15">
        <f t="shared" si="155"/>
        <v>0</v>
      </c>
    </row>
    <row r="1534" hidden="1">
      <c r="A1534" s="7">
        <v>44125.325367743055</v>
      </c>
      <c r="B1534" s="8" t="s">
        <v>38</v>
      </c>
      <c r="C1534" s="8">
        <v>21475.0</v>
      </c>
      <c r="D1534" s="8" t="s">
        <v>27</v>
      </c>
      <c r="E1534" s="8" t="s">
        <v>244</v>
      </c>
      <c r="G1534" s="8">
        <v>3754.0</v>
      </c>
      <c r="H1534" s="8" t="s">
        <v>45</v>
      </c>
      <c r="K1534" s="8" t="s">
        <v>124</v>
      </c>
      <c r="L1534" s="8" t="s">
        <v>37</v>
      </c>
      <c r="P1534" s="9">
        <v>44124.0</v>
      </c>
      <c r="Q1534" s="10">
        <v>0.375</v>
      </c>
      <c r="R1534" s="11" t="str">
        <f t="shared" si="1"/>
        <v>ReviewStation sec</v>
      </c>
      <c r="S1534" s="16" t="str">
        <f>iferror(VLOOKUP(C1534,'ФИО'!A:B,2,0),"учётный код не найден")</f>
        <v>Байрамашвили Альберт Зурабович</v>
      </c>
      <c r="T1534" s="13" t="str">
        <f t="shared" si="2"/>
        <v>ПУ 910-00120.D - Печатный узел модуля 2CAN+LIN</v>
      </c>
      <c r="U1534" s="8">
        <v>6008.0</v>
      </c>
      <c r="V1534" s="8">
        <v>220.0</v>
      </c>
      <c r="X1534" s="14" t="str">
        <f t="shared" si="154"/>
        <v>Данные не заполены</v>
      </c>
      <c r="Y1534" s="15">
        <f t="shared" si="155"/>
        <v>0.03661784288</v>
      </c>
    </row>
    <row r="1535" hidden="1">
      <c r="A1535" s="7">
        <v>44132.32927686343</v>
      </c>
      <c r="B1535" s="8" t="s">
        <v>38</v>
      </c>
      <c r="C1535" s="8">
        <v>21752.0</v>
      </c>
      <c r="D1535" s="8" t="s">
        <v>27</v>
      </c>
      <c r="E1535" s="8" t="s">
        <v>62</v>
      </c>
      <c r="G1535" s="8">
        <v>3621.0</v>
      </c>
      <c r="H1535" s="8" t="s">
        <v>29</v>
      </c>
      <c r="I1535" s="8" t="s">
        <v>30</v>
      </c>
      <c r="L1535" s="8" t="s">
        <v>37</v>
      </c>
      <c r="P1535" s="9">
        <v>44131.0</v>
      </c>
      <c r="Q1535" s="10">
        <v>0.020833333335758653</v>
      </c>
      <c r="R1535" s="11" t="str">
        <f t="shared" si="1"/>
        <v>ReviewStation pri</v>
      </c>
      <c r="S1535" s="12" t="str">
        <f>iferror(VLOOKUP(C1535,'ФИО'!A:B,2,0),"учётный код не найден")</f>
        <v>Егоров Александр Александрович</v>
      </c>
      <c r="T1535" s="13" t="str">
        <f t="shared" si="2"/>
        <v>915-00121.A - Процессорный модуль РСЕН.469555.027 (КНС Групп) в ТС</v>
      </c>
      <c r="U1535" s="8">
        <v>0.0</v>
      </c>
      <c r="V1535" s="8">
        <v>25.0</v>
      </c>
      <c r="X1535" s="14" t="str">
        <f t="shared" si="154"/>
        <v>Данные не заполены</v>
      </c>
      <c r="Y1535" s="15">
        <f t="shared" si="155"/>
        <v>25</v>
      </c>
      <c r="Z1535" s="8" t="s">
        <v>313</v>
      </c>
    </row>
    <row r="1536" hidden="1">
      <c r="A1536" s="7">
        <v>44112.83442778935</v>
      </c>
      <c r="B1536" s="8" t="s">
        <v>26</v>
      </c>
      <c r="C1536" s="8">
        <v>21752.0</v>
      </c>
      <c r="D1536" s="8" t="s">
        <v>27</v>
      </c>
      <c r="E1536" s="8" t="s">
        <v>244</v>
      </c>
      <c r="G1536" s="8">
        <v>3726.0</v>
      </c>
      <c r="H1536" s="8" t="s">
        <v>45</v>
      </c>
      <c r="K1536" s="8" t="s">
        <v>58</v>
      </c>
      <c r="L1536" s="8" t="s">
        <v>37</v>
      </c>
      <c r="P1536" s="9">
        <v>44112.0</v>
      </c>
      <c r="Q1536" s="10">
        <v>0.020833333335758653</v>
      </c>
      <c r="R1536" s="11" t="str">
        <f t="shared" si="1"/>
        <v>ReviewStation sec</v>
      </c>
      <c r="S1536" s="16" t="str">
        <f>iferror(VLOOKUP(C1536,'ФИО'!A:B,2,0),"учётный код не найден")</f>
        <v>Егоров Александр Александрович</v>
      </c>
      <c r="T1536" s="13" t="str">
        <f t="shared" si="2"/>
        <v>ПУ метки i95</v>
      </c>
      <c r="U1536" s="8">
        <v>273.0</v>
      </c>
      <c r="V1536" s="8">
        <v>63.0</v>
      </c>
      <c r="W1536" s="21" t="str">
        <f>IFERROR((((38412/(ifs(O1536&lt;35,35,O1536&gt;34,O1536)/N1536)*0.7))),"Данные не заполены")</f>
        <v>Данные не заполены</v>
      </c>
      <c r="X1536" s="15" t="str">
        <f t="shared" si="154"/>
        <v>Данные не заполены</v>
      </c>
      <c r="Y1536" s="15">
        <f t="shared" si="155"/>
        <v>0.2307692308</v>
      </c>
      <c r="Z1536" s="8" t="s">
        <v>64</v>
      </c>
    </row>
    <row r="1537" hidden="1">
      <c r="A1537" s="7">
        <v>44128.81918935185</v>
      </c>
      <c r="B1537" s="8" t="s">
        <v>26</v>
      </c>
      <c r="C1537" s="8">
        <v>21475.0</v>
      </c>
      <c r="D1537" s="8" t="s">
        <v>27</v>
      </c>
      <c r="E1537" s="8" t="s">
        <v>244</v>
      </c>
      <c r="G1537" s="8">
        <v>3804.0</v>
      </c>
      <c r="H1537" s="8" t="s">
        <v>45</v>
      </c>
      <c r="K1537" s="8" t="s">
        <v>52</v>
      </c>
      <c r="L1537" s="8" t="s">
        <v>37</v>
      </c>
      <c r="P1537" s="9">
        <v>44128.0</v>
      </c>
      <c r="Q1537" s="10">
        <v>0.1875</v>
      </c>
      <c r="R1537" s="11" t="str">
        <f t="shared" si="1"/>
        <v>ReviewStation sec</v>
      </c>
      <c r="S1537" s="16" t="str">
        <f>iferror(VLOOKUP(C1537,'ФИО'!A:B,2,0),"учётный код не найден")</f>
        <v>Байрамашвили Альберт Зурабович</v>
      </c>
      <c r="T1537" s="13" t="str">
        <f t="shared" si="2"/>
        <v>М17V2 (900-00018.D)_910-00023.H и ПУ 910-00012.I</v>
      </c>
      <c r="U1537" s="8">
        <v>839.0</v>
      </c>
      <c r="V1537" s="8">
        <v>101.0</v>
      </c>
      <c r="X1537" s="14" t="str">
        <f t="shared" si="154"/>
        <v>Данные не заполены</v>
      </c>
      <c r="Y1537" s="15">
        <f t="shared" si="155"/>
        <v>0.1203814064</v>
      </c>
      <c r="Z1537" s="8" t="s">
        <v>64</v>
      </c>
    </row>
    <row r="1538" hidden="1">
      <c r="A1538" s="7">
        <v>44133.82678699074</v>
      </c>
      <c r="B1538" s="8" t="s">
        <v>127</v>
      </c>
      <c r="C1538" s="8">
        <v>22063.0</v>
      </c>
      <c r="D1538" s="8" t="s">
        <v>27</v>
      </c>
      <c r="E1538" s="8" t="s">
        <v>84</v>
      </c>
      <c r="G1538" s="8">
        <v>3621.0</v>
      </c>
      <c r="H1538" s="8" t="s">
        <v>29</v>
      </c>
      <c r="I1538" s="8" t="s">
        <v>30</v>
      </c>
      <c r="L1538" s="8" t="s">
        <v>31</v>
      </c>
      <c r="M1538" s="8" t="s">
        <v>34</v>
      </c>
      <c r="P1538" s="9">
        <v>44133.0</v>
      </c>
      <c r="Q1538" s="10">
        <v>0.027777777781011537</v>
      </c>
      <c r="R1538" s="11" t="str">
        <f t="shared" si="1"/>
        <v>Настройка принтера Sec</v>
      </c>
      <c r="S1538" s="16" t="str">
        <f>iferror(VLOOKUP(C1538,'ФИО'!A:B,2,0),"учётный код не найден")</f>
        <v>Белоглазов Сергей Анатольевич</v>
      </c>
      <c r="T1538" s="11" t="str">
        <f t="shared" si="2"/>
        <v>915-00121.A - Процессорный модуль РСЕН.469555.027 (КНС Групп) в ТС</v>
      </c>
      <c r="U1538" s="8">
        <v>1.0</v>
      </c>
      <c r="V1538" s="8">
        <v>0.0</v>
      </c>
      <c r="W1538" s="17" t="str">
        <f t="shared" ref="W1538:W1600" si="161">IFERROR((((38412/(ifs(O1538&lt;35,35,O1538&gt;34,O1538)/N1538)*0.7))),"Данные не заполены")</f>
        <v>Данные не заполены</v>
      </c>
      <c r="X1538" s="14" t="str">
        <f t="shared" si="154"/>
        <v>Данные не заполены</v>
      </c>
      <c r="Y1538" s="15">
        <f t="shared" si="155"/>
        <v>0</v>
      </c>
    </row>
    <row r="1539" hidden="1">
      <c r="A1539" s="7">
        <v>44133.828959652776</v>
      </c>
      <c r="B1539" s="8" t="s">
        <v>127</v>
      </c>
      <c r="C1539" s="8">
        <v>22063.0</v>
      </c>
      <c r="D1539" s="8" t="s">
        <v>27</v>
      </c>
      <c r="E1539" s="8" t="s">
        <v>82</v>
      </c>
      <c r="G1539" s="8">
        <v>3621.0</v>
      </c>
      <c r="H1539" s="8" t="s">
        <v>29</v>
      </c>
      <c r="I1539" s="8" t="s">
        <v>30</v>
      </c>
      <c r="L1539" s="8" t="s">
        <v>31</v>
      </c>
      <c r="M1539" s="8" t="s">
        <v>34</v>
      </c>
      <c r="P1539" s="9">
        <v>44133.0</v>
      </c>
      <c r="Q1539" s="10">
        <v>0.125</v>
      </c>
      <c r="R1539" s="11" t="str">
        <f t="shared" si="1"/>
        <v>Настройка установщиков</v>
      </c>
      <c r="S1539" s="16" t="str">
        <f>iferror(VLOOKUP(C1539,'ФИО'!A:B,2,0),"учётный код не найден")</f>
        <v>Белоглазов Сергей Анатольевич</v>
      </c>
      <c r="T1539" s="11" t="str">
        <f t="shared" si="2"/>
        <v>915-00121.A - Процессорный модуль РСЕН.469555.027 (КНС Групп) в ТС</v>
      </c>
      <c r="U1539" s="8">
        <v>0.0</v>
      </c>
      <c r="V1539" s="8">
        <v>0.0</v>
      </c>
      <c r="W1539" s="17" t="str">
        <f t="shared" si="161"/>
        <v>Данные не заполены</v>
      </c>
      <c r="X1539" s="14" t="str">
        <f t="shared" si="154"/>
        <v>Данные не заполены</v>
      </c>
      <c r="Y1539" s="15">
        <f t="shared" si="155"/>
        <v>0</v>
      </c>
    </row>
    <row r="1540" hidden="1">
      <c r="A1540" s="7">
        <v>44109.528233969904</v>
      </c>
      <c r="B1540" s="8" t="s">
        <v>127</v>
      </c>
      <c r="C1540" s="8">
        <v>22063.0</v>
      </c>
      <c r="D1540" s="8" t="s">
        <v>69</v>
      </c>
      <c r="F1540" s="8" t="s">
        <v>106</v>
      </c>
      <c r="G1540" s="8">
        <v>3579.0</v>
      </c>
      <c r="H1540" s="8" t="s">
        <v>29</v>
      </c>
      <c r="I1540" s="8" t="s">
        <v>42</v>
      </c>
      <c r="L1540" s="8" t="s">
        <v>31</v>
      </c>
      <c r="M1540" s="8" t="s">
        <v>34</v>
      </c>
      <c r="N1540" s="8"/>
      <c r="O1540" s="8"/>
      <c r="P1540" s="9">
        <v>44108.0</v>
      </c>
      <c r="Q1540" s="10">
        <v>0.04166666666424135</v>
      </c>
      <c r="R1540" s="11" t="str">
        <f t="shared" si="1"/>
        <v>Настройка SEHO PRI</v>
      </c>
      <c r="S1540" s="16" t="str">
        <f>iferror(VLOOKUP(C1540,'ФИО'!A:B,2,0),"учётный код не найден")</f>
        <v>Белоглазов Сергей Анатольевич</v>
      </c>
      <c r="T1540" s="11" t="str">
        <f t="shared" si="2"/>
        <v>915-00070.A - Модуль телематики ТМ1 v3 (Сознательные машины)</v>
      </c>
      <c r="U1540" s="8">
        <v>1.0</v>
      </c>
      <c r="V1540" s="8">
        <v>0.0</v>
      </c>
      <c r="W1540" s="21" t="str">
        <f t="shared" si="161"/>
        <v>Данные не заполены</v>
      </c>
      <c r="X1540" s="15" t="str">
        <f t="shared" si="154"/>
        <v>Данные не заполены</v>
      </c>
      <c r="Y1540" s="15">
        <f t="shared" si="155"/>
        <v>0</v>
      </c>
    </row>
    <row r="1541" hidden="1">
      <c r="A1541" s="7">
        <v>44117.823686435186</v>
      </c>
      <c r="B1541" s="8" t="s">
        <v>127</v>
      </c>
      <c r="C1541" s="8">
        <v>22063.0</v>
      </c>
      <c r="D1541" s="8" t="s">
        <v>69</v>
      </c>
      <c r="F1541" s="8" t="s">
        <v>106</v>
      </c>
      <c r="G1541" s="8">
        <v>3234.0</v>
      </c>
      <c r="H1541" s="8" t="s">
        <v>29</v>
      </c>
      <c r="I1541" s="8" t="s">
        <v>135</v>
      </c>
      <c r="L1541" s="8" t="s">
        <v>31</v>
      </c>
      <c r="M1541" s="8" t="s">
        <v>34</v>
      </c>
      <c r="P1541" s="9">
        <v>44117.0</v>
      </c>
      <c r="Q1541" s="10">
        <v>0.04166666666424135</v>
      </c>
      <c r="R1541" s="11" t="str">
        <f t="shared" si="1"/>
        <v>Настройка SEHO PRI</v>
      </c>
      <c r="S1541" s="16" t="str">
        <f>iferror(VLOOKUP(C1541,'ФИО'!A:B,2,0),"учётный код не найден")</f>
        <v>Белоглазов Сергей Анатольевич</v>
      </c>
      <c r="T1541" s="11" t="str">
        <f t="shared" si="2"/>
        <v>915-00101.A - ПКД-9В АСЛБ.467249.107 (Квант)</v>
      </c>
      <c r="U1541" s="8">
        <v>1.0</v>
      </c>
      <c r="V1541" s="8">
        <v>0.0</v>
      </c>
      <c r="W1541" s="17" t="str">
        <f t="shared" si="161"/>
        <v>Данные не заполены</v>
      </c>
      <c r="X1541" s="14" t="str">
        <f t="shared" si="154"/>
        <v>Данные не заполены</v>
      </c>
      <c r="Y1541" s="15">
        <f t="shared" si="155"/>
        <v>0</v>
      </c>
    </row>
    <row r="1542" hidden="1">
      <c r="A1542" s="7">
        <v>44117.828767812505</v>
      </c>
      <c r="B1542" s="8" t="s">
        <v>127</v>
      </c>
      <c r="C1542" s="8">
        <v>22063.0</v>
      </c>
      <c r="D1542" s="8" t="s">
        <v>69</v>
      </c>
      <c r="F1542" s="8" t="s">
        <v>106</v>
      </c>
      <c r="G1542" s="8">
        <v>3750.0</v>
      </c>
      <c r="H1542" s="8" t="s">
        <v>9</v>
      </c>
      <c r="J1542" s="8" t="s">
        <v>46</v>
      </c>
      <c r="L1542" s="8" t="s">
        <v>31</v>
      </c>
      <c r="M1542" s="8" t="s">
        <v>205</v>
      </c>
      <c r="P1542" s="9">
        <v>44117.0</v>
      </c>
      <c r="Q1542" s="10">
        <v>0.08333333333575865</v>
      </c>
      <c r="R1542" s="11" t="str">
        <f t="shared" si="1"/>
        <v>Настройка SEHO PRI</v>
      </c>
      <c r="S1542" s="16" t="str">
        <f>iferror(VLOOKUP(C1542,'ФИО'!A:B,2,0),"учётный код не найден")</f>
        <v>Белоглазов Сергей Анатольевич</v>
      </c>
      <c r="T1542" s="11" t="str">
        <f t="shared" si="2"/>
        <v>ПУ 910-00349.A "Печатный узел основного блока E96 4LIN"</v>
      </c>
      <c r="U1542" s="8">
        <v>2.0</v>
      </c>
      <c r="V1542" s="8">
        <v>0.0</v>
      </c>
      <c r="W1542" s="17" t="str">
        <f t="shared" si="161"/>
        <v>Данные не заполены</v>
      </c>
      <c r="X1542" s="14" t="str">
        <f t="shared" si="154"/>
        <v>Данные не заполены</v>
      </c>
      <c r="Y1542" s="15">
        <f t="shared" si="155"/>
        <v>0</v>
      </c>
    </row>
    <row r="1543" hidden="1">
      <c r="A1543" s="7">
        <v>44117.82951578704</v>
      </c>
      <c r="B1543" s="8" t="s">
        <v>127</v>
      </c>
      <c r="C1543" s="8">
        <v>22063.0</v>
      </c>
      <c r="D1543" s="8" t="s">
        <v>69</v>
      </c>
      <c r="F1543" s="8" t="s">
        <v>106</v>
      </c>
      <c r="G1543" s="8">
        <v>3232.0</v>
      </c>
      <c r="H1543" s="8" t="s">
        <v>29</v>
      </c>
      <c r="I1543" s="8" t="s">
        <v>63</v>
      </c>
      <c r="L1543" s="8" t="s">
        <v>31</v>
      </c>
      <c r="M1543" s="8" t="s">
        <v>34</v>
      </c>
      <c r="P1543" s="9">
        <v>44117.0</v>
      </c>
      <c r="Q1543" s="10">
        <v>0.04166666666424135</v>
      </c>
      <c r="R1543" s="11" t="str">
        <f t="shared" si="1"/>
        <v>Настройка SEHO PRI</v>
      </c>
      <c r="S1543" s="16" t="str">
        <f>iferror(VLOOKUP(C1543,'ФИО'!A:B,2,0),"учётный код не найден")</f>
        <v>Белоглазов Сергей Анатольевич</v>
      </c>
      <c r="T1543" s="11" t="str">
        <f t="shared" si="2"/>
        <v>915-00103.A - ПБОК-1В АСЛБ.465285.012 (Квант)</v>
      </c>
      <c r="U1543" s="8">
        <v>1.0</v>
      </c>
      <c r="V1543" s="8">
        <v>0.0</v>
      </c>
      <c r="W1543" s="17" t="str">
        <f t="shared" si="161"/>
        <v>Данные не заполены</v>
      </c>
      <c r="X1543" s="14" t="str">
        <f t="shared" si="154"/>
        <v>Данные не заполены</v>
      </c>
      <c r="Y1543" s="15">
        <f t="shared" si="155"/>
        <v>0</v>
      </c>
    </row>
    <row r="1544" hidden="1">
      <c r="A1544" s="7">
        <v>44109.52937443287</v>
      </c>
      <c r="B1544" s="8" t="s">
        <v>127</v>
      </c>
      <c r="C1544" s="8">
        <v>22063.0</v>
      </c>
      <c r="D1544" s="8" t="s">
        <v>69</v>
      </c>
      <c r="F1544" s="8" t="s">
        <v>104</v>
      </c>
      <c r="L1544" s="8" t="s">
        <v>31</v>
      </c>
      <c r="M1544" s="8" t="s">
        <v>34</v>
      </c>
      <c r="N1544" s="8"/>
      <c r="O1544" s="8"/>
      <c r="P1544" s="9">
        <v>44108.0</v>
      </c>
      <c r="Q1544" s="10">
        <v>0.35416666666424135</v>
      </c>
      <c r="R1544" s="11" t="str">
        <f t="shared" si="1"/>
        <v>Обучение</v>
      </c>
      <c r="S1544" s="16" t="str">
        <f>iferror(VLOOKUP(C1544,'ФИО'!A:B,2,0),"учётный код не найден")</f>
        <v>Белоглазов Сергей Анатольевич</v>
      </c>
      <c r="T1544" s="11" t="str">
        <f t="shared" si="2"/>
        <v/>
      </c>
      <c r="W1544" s="21" t="str">
        <f t="shared" si="161"/>
        <v>Данные не заполены</v>
      </c>
      <c r="X1544" s="15" t="str">
        <f t="shared" si="154"/>
        <v>Данные не заполены</v>
      </c>
      <c r="Y1544" s="15">
        <f t="shared" si="155"/>
        <v>0</v>
      </c>
    </row>
    <row r="1545" hidden="1">
      <c r="A1545" s="7">
        <v>44116.834541516204</v>
      </c>
      <c r="B1545" s="8" t="s">
        <v>127</v>
      </c>
      <c r="C1545" s="8">
        <v>22063.0</v>
      </c>
      <c r="D1545" s="8" t="s">
        <v>69</v>
      </c>
      <c r="F1545" s="8" t="s">
        <v>104</v>
      </c>
      <c r="L1545" s="8" t="s">
        <v>31</v>
      </c>
      <c r="M1545" s="8" t="s">
        <v>34</v>
      </c>
      <c r="N1545" s="8"/>
      <c r="O1545" s="8"/>
      <c r="P1545" s="9">
        <v>44116.0</v>
      </c>
      <c r="Q1545" s="10">
        <v>0.20833333333575865</v>
      </c>
      <c r="R1545" s="11" t="str">
        <f t="shared" si="1"/>
        <v>Обучение</v>
      </c>
      <c r="S1545" s="16" t="str">
        <f>iferror(VLOOKUP(C1545,'ФИО'!A:B,2,0),"учётный код не найден")</f>
        <v>Белоглазов Сергей Анатольевич</v>
      </c>
      <c r="T1545" s="11" t="str">
        <f t="shared" si="2"/>
        <v/>
      </c>
      <c r="W1545" s="17" t="str">
        <f t="shared" si="161"/>
        <v>Данные не заполены</v>
      </c>
      <c r="X1545" s="14" t="str">
        <f t="shared" si="154"/>
        <v>Данные не заполены</v>
      </c>
      <c r="Y1545" s="15">
        <f t="shared" si="155"/>
        <v>0</v>
      </c>
    </row>
    <row r="1546" hidden="1">
      <c r="A1546" s="7">
        <v>44109.816933368056</v>
      </c>
      <c r="B1546" s="8" t="s">
        <v>127</v>
      </c>
      <c r="C1546" s="8">
        <v>22063.0</v>
      </c>
      <c r="D1546" s="8" t="s">
        <v>69</v>
      </c>
      <c r="F1546" s="8" t="s">
        <v>104</v>
      </c>
      <c r="L1546" s="8" t="s">
        <v>31</v>
      </c>
      <c r="M1546" s="8" t="s">
        <v>34</v>
      </c>
      <c r="N1546" s="8"/>
      <c r="O1546" s="8"/>
      <c r="P1546" s="9">
        <v>44109.0</v>
      </c>
      <c r="Q1546" s="10">
        <v>0.0625</v>
      </c>
      <c r="R1546" s="11" t="str">
        <f t="shared" si="1"/>
        <v>Обучение</v>
      </c>
      <c r="S1546" s="16" t="str">
        <f>iferror(VLOOKUP(C1546,'ФИО'!A:B,2,0),"учётный код не найден")</f>
        <v>Белоглазов Сергей Анатольевич</v>
      </c>
      <c r="T1546" s="11" t="str">
        <f t="shared" si="2"/>
        <v/>
      </c>
      <c r="W1546" s="21" t="str">
        <f t="shared" si="161"/>
        <v>Данные не заполены</v>
      </c>
      <c r="X1546" s="15" t="str">
        <f t="shared" si="154"/>
        <v>Данные не заполены</v>
      </c>
      <c r="Y1546" s="15">
        <f t="shared" si="155"/>
        <v>0</v>
      </c>
    </row>
    <row r="1547" hidden="1">
      <c r="A1547" s="7">
        <v>44109.52895896991</v>
      </c>
      <c r="B1547" s="8" t="s">
        <v>127</v>
      </c>
      <c r="C1547" s="8">
        <v>22063.0</v>
      </c>
      <c r="D1547" s="8" t="s">
        <v>69</v>
      </c>
      <c r="F1547" s="8" t="s">
        <v>72</v>
      </c>
      <c r="G1547" s="8">
        <v>3579.0</v>
      </c>
      <c r="H1547" s="8" t="s">
        <v>29</v>
      </c>
      <c r="I1547" s="8" t="s">
        <v>42</v>
      </c>
      <c r="L1547" s="8" t="s">
        <v>37</v>
      </c>
      <c r="P1547" s="9">
        <v>44108.0</v>
      </c>
      <c r="Q1547" s="10">
        <v>0.04166666666424135</v>
      </c>
      <c r="R1547" s="11" t="str">
        <f t="shared" si="1"/>
        <v>Пайка компонентов PRI</v>
      </c>
      <c r="S1547" s="16" t="str">
        <f>iferror(VLOOKUP(C1547,'ФИО'!A:B,2,0),"учётный код не найден")</f>
        <v>Белоглазов Сергей Анатольевич</v>
      </c>
      <c r="T1547" s="11" t="str">
        <f t="shared" si="2"/>
        <v>915-00070.A - Модуль телематики ТМ1 v3 (Сознательные машины)</v>
      </c>
      <c r="U1547" s="8">
        <v>0.0</v>
      </c>
      <c r="V1547" s="8">
        <v>0.0</v>
      </c>
      <c r="W1547" s="21" t="str">
        <f t="shared" si="161"/>
        <v>Данные не заполены</v>
      </c>
      <c r="X1547" s="15" t="str">
        <f t="shared" si="154"/>
        <v>Данные не заполены</v>
      </c>
      <c r="Y1547" s="15">
        <f t="shared" si="155"/>
        <v>0</v>
      </c>
    </row>
    <row r="1548" hidden="1">
      <c r="A1548" s="7">
        <v>44128.32637277778</v>
      </c>
      <c r="B1548" s="8" t="s">
        <v>126</v>
      </c>
      <c r="C1548" s="8">
        <v>20849.0</v>
      </c>
      <c r="D1548" s="8" t="s">
        <v>27</v>
      </c>
      <c r="E1548" s="8" t="s">
        <v>168</v>
      </c>
      <c r="G1548" s="8">
        <v>3621.0</v>
      </c>
      <c r="H1548" s="8" t="s">
        <v>29</v>
      </c>
      <c r="I1548" s="8" t="s">
        <v>54</v>
      </c>
      <c r="L1548" s="8" t="s">
        <v>31</v>
      </c>
      <c r="M1548" s="8" t="s">
        <v>34</v>
      </c>
      <c r="P1548" s="9">
        <v>44127.0</v>
      </c>
      <c r="Q1548" s="10">
        <v>0.25</v>
      </c>
      <c r="R1548" s="11" t="str">
        <f t="shared" si="1"/>
        <v>Создание программы для NPM</v>
      </c>
      <c r="S1548" s="16" t="str">
        <f>iferror(VLOOKUP(C1548,'ФИО'!A:B,2,0),"учётный код не найден")</f>
        <v>Шилоносов Максим Евгеньевич</v>
      </c>
      <c r="T1548" s="13" t="str">
        <f t="shared" si="2"/>
        <v>915-00121.A - Процессорный модуль РСЕН.469555.027 (КНС Групп)</v>
      </c>
      <c r="U1548" s="8">
        <v>0.0</v>
      </c>
      <c r="V1548" s="8">
        <v>0.0</v>
      </c>
      <c r="W1548" s="17" t="str">
        <f t="shared" si="161"/>
        <v>Данные не заполены</v>
      </c>
      <c r="X1548" s="14" t="str">
        <f t="shared" si="154"/>
        <v>Данные не заполены</v>
      </c>
      <c r="Y1548" s="15">
        <f t="shared" si="155"/>
        <v>0</v>
      </c>
    </row>
    <row r="1549" hidden="1">
      <c r="A1549" s="7">
        <v>44109.81503621528</v>
      </c>
      <c r="B1549" s="8" t="s">
        <v>127</v>
      </c>
      <c r="C1549" s="8">
        <v>22063.0</v>
      </c>
      <c r="D1549" s="8" t="s">
        <v>69</v>
      </c>
      <c r="F1549" s="8" t="s">
        <v>72</v>
      </c>
      <c r="G1549" s="8">
        <v>3232.0</v>
      </c>
      <c r="H1549" s="8" t="s">
        <v>29</v>
      </c>
      <c r="I1549" s="8" t="s">
        <v>63</v>
      </c>
      <c r="L1549" s="8" t="s">
        <v>31</v>
      </c>
      <c r="M1549" s="8" t="s">
        <v>314</v>
      </c>
      <c r="N1549" s="8"/>
      <c r="O1549" s="8"/>
      <c r="P1549" s="9">
        <v>44109.0</v>
      </c>
      <c r="Q1549" s="10">
        <v>0.04166666666424135</v>
      </c>
      <c r="R1549" s="11" t="str">
        <f t="shared" si="1"/>
        <v>Пайка компонентов PRI</v>
      </c>
      <c r="S1549" s="16" t="str">
        <f>iferror(VLOOKUP(C1549,'ФИО'!A:B,2,0),"учётный код не найден")</f>
        <v>Белоглазов Сергей Анатольевич</v>
      </c>
      <c r="T1549" s="11" t="str">
        <f t="shared" si="2"/>
        <v>915-00103.A - ПБОК-1В АСЛБ.465285.012 (Квант)</v>
      </c>
      <c r="U1549" s="8">
        <v>0.0</v>
      </c>
      <c r="V1549" s="8">
        <v>0.0</v>
      </c>
      <c r="W1549" s="21" t="str">
        <f t="shared" si="161"/>
        <v>Данные не заполены</v>
      </c>
      <c r="X1549" s="15" t="str">
        <f t="shared" si="154"/>
        <v>Данные не заполены</v>
      </c>
      <c r="Y1549" s="15">
        <f t="shared" si="155"/>
        <v>0</v>
      </c>
    </row>
    <row r="1550" hidden="1">
      <c r="A1550" s="7">
        <v>44113.333858136575</v>
      </c>
      <c r="B1550" s="8" t="s">
        <v>126</v>
      </c>
      <c r="C1550" s="8">
        <v>22063.0</v>
      </c>
      <c r="D1550" s="8" t="s">
        <v>69</v>
      </c>
      <c r="F1550" s="8" t="s">
        <v>290</v>
      </c>
      <c r="G1550" s="8">
        <v>3579.0</v>
      </c>
      <c r="H1550" s="8" t="s">
        <v>29</v>
      </c>
      <c r="I1550" s="8" t="s">
        <v>42</v>
      </c>
      <c r="L1550" s="8" t="s">
        <v>31</v>
      </c>
      <c r="M1550" s="8" t="s">
        <v>34</v>
      </c>
      <c r="N1550" s="8"/>
      <c r="O1550" s="8"/>
      <c r="P1550" s="9">
        <v>44112.0</v>
      </c>
      <c r="Q1550" s="10">
        <v>0.04166666666424135</v>
      </c>
      <c r="R1550" s="11" t="str">
        <f t="shared" si="1"/>
        <v>Установка компонентов  на платы (ручная) PRI</v>
      </c>
      <c r="S1550" s="16" t="str">
        <f>iferror(VLOOKUP(C1550,'ФИО'!A:B,2,0),"учётный код не найден")</f>
        <v>Белоглазов Сергей Анатольевич</v>
      </c>
      <c r="T1550" s="13" t="str">
        <f t="shared" si="2"/>
        <v>915-00070.A - Модуль телематики ТМ1 v3 (Сознательные машины)</v>
      </c>
      <c r="U1550" s="8">
        <v>0.0</v>
      </c>
      <c r="V1550" s="8">
        <v>0.0</v>
      </c>
      <c r="W1550" s="21" t="str">
        <f t="shared" si="161"/>
        <v>Данные не заполены</v>
      </c>
      <c r="X1550" s="15" t="str">
        <f t="shared" si="154"/>
        <v>Данные не заполены</v>
      </c>
      <c r="Y1550" s="15">
        <f t="shared" si="155"/>
        <v>0</v>
      </c>
    </row>
    <row r="1551" hidden="1">
      <c r="A1551" s="7">
        <v>44117.82464788195</v>
      </c>
      <c r="B1551" s="8" t="s">
        <v>127</v>
      </c>
      <c r="C1551" s="8">
        <v>22063.0</v>
      </c>
      <c r="D1551" s="8" t="s">
        <v>69</v>
      </c>
      <c r="F1551" s="8" t="s">
        <v>72</v>
      </c>
      <c r="G1551" s="8">
        <v>3234.0</v>
      </c>
      <c r="H1551" s="8" t="s">
        <v>29</v>
      </c>
      <c r="I1551" s="8" t="s">
        <v>135</v>
      </c>
      <c r="L1551" s="8" t="s">
        <v>37</v>
      </c>
      <c r="P1551" s="9">
        <v>44117.0</v>
      </c>
      <c r="Q1551" s="10">
        <v>0.0625</v>
      </c>
      <c r="R1551" s="11" t="str">
        <f t="shared" si="1"/>
        <v>Пайка компонентов PRI</v>
      </c>
      <c r="S1551" s="16" t="str">
        <f>iferror(VLOOKUP(C1551,'ФИО'!A:B,2,0),"учётный код не найден")</f>
        <v>Белоглазов Сергей Анатольевич</v>
      </c>
      <c r="T1551" s="11" t="str">
        <f t="shared" si="2"/>
        <v>915-00101.A - ПКД-9В АСЛБ.467249.107 (Квант)</v>
      </c>
      <c r="U1551" s="8">
        <v>0.0</v>
      </c>
      <c r="V1551" s="8">
        <v>0.0</v>
      </c>
      <c r="W1551" s="17" t="str">
        <f t="shared" si="161"/>
        <v>Данные не заполены</v>
      </c>
      <c r="X1551" s="14" t="str">
        <f t="shared" si="154"/>
        <v>Данные не заполены</v>
      </c>
      <c r="Y1551" s="15">
        <f t="shared" si="155"/>
        <v>0</v>
      </c>
    </row>
    <row r="1552" hidden="1">
      <c r="A1552" s="7">
        <v>44109.52740584491</v>
      </c>
      <c r="B1552" s="8" t="s">
        <v>127</v>
      </c>
      <c r="C1552" s="8">
        <v>22063.0</v>
      </c>
      <c r="D1552" s="8" t="s">
        <v>69</v>
      </c>
      <c r="F1552" s="8" t="s">
        <v>80</v>
      </c>
      <c r="G1552" s="8">
        <v>3232.0</v>
      </c>
      <c r="H1552" s="8" t="s">
        <v>29</v>
      </c>
      <c r="I1552" s="8" t="s">
        <v>60</v>
      </c>
      <c r="L1552" s="8" t="s">
        <v>37</v>
      </c>
      <c r="P1552" s="9">
        <v>44108.0</v>
      </c>
      <c r="Q1552" s="10">
        <v>0.010416666664241347</v>
      </c>
      <c r="R1552" s="11" t="str">
        <f t="shared" si="1"/>
        <v>Пайка компонентов SEC</v>
      </c>
      <c r="S1552" s="16" t="str">
        <f>iferror(VLOOKUP(C1552,'ФИО'!A:B,2,0),"учётный код не найден")</f>
        <v>Белоглазов Сергей Анатольевич</v>
      </c>
      <c r="T1552" s="11" t="s">
        <v>63</v>
      </c>
      <c r="U1552" s="8">
        <v>0.0</v>
      </c>
      <c r="V1552" s="8">
        <v>0.0</v>
      </c>
      <c r="W1552" s="21" t="str">
        <f t="shared" si="161"/>
        <v>Данные не заполены</v>
      </c>
      <c r="X1552" s="15" t="str">
        <f t="shared" si="154"/>
        <v>Данные не заполены</v>
      </c>
      <c r="Y1552" s="15">
        <f t="shared" si="155"/>
        <v>0</v>
      </c>
    </row>
    <row r="1553" hidden="1">
      <c r="A1553" s="7">
        <v>44113.332024641204</v>
      </c>
      <c r="B1553" s="8" t="s">
        <v>126</v>
      </c>
      <c r="C1553" s="8">
        <v>21927.0</v>
      </c>
      <c r="D1553" s="8" t="s">
        <v>27</v>
      </c>
      <c r="E1553" s="8" t="s">
        <v>109</v>
      </c>
      <c r="G1553" s="8">
        <v>3580.0</v>
      </c>
      <c r="H1553" s="8" t="s">
        <v>29</v>
      </c>
      <c r="I1553" s="8" t="s">
        <v>146</v>
      </c>
      <c r="L1553" s="8" t="s">
        <v>31</v>
      </c>
      <c r="M1553" s="8" t="s">
        <v>34</v>
      </c>
      <c r="N1553" s="8"/>
      <c r="O1553" s="8"/>
      <c r="P1553" s="9">
        <v>44112.0</v>
      </c>
      <c r="Q1553" s="10">
        <v>0.020833333335758653</v>
      </c>
      <c r="R1553" s="11" t="str">
        <f t="shared" si="1"/>
        <v>Установка компонентов вручную</v>
      </c>
      <c r="S1553" s="16" t="str">
        <f>iferror(VLOOKUP(C1553,'ФИО'!A:B,2,0),"учётный код не найден")</f>
        <v>Шергин Родион Олегович</v>
      </c>
      <c r="T1553" s="13" t="str">
        <f t="shared" ref="T1553:T1705" si="162">CONCATENATE(I1553,J1553,K1553)</f>
        <v>XR (Термотроник)</v>
      </c>
      <c r="U1553" s="8">
        <v>0.0</v>
      </c>
      <c r="V1553" s="8">
        <v>0.0</v>
      </c>
      <c r="W1553" s="21" t="str">
        <f t="shared" si="161"/>
        <v>Данные не заполены</v>
      </c>
      <c r="X1553" s="15" t="str">
        <f t="shared" si="154"/>
        <v>Данные не заполены</v>
      </c>
      <c r="Y1553" s="15">
        <f t="shared" si="155"/>
        <v>0</v>
      </c>
    </row>
    <row r="1554" hidden="1">
      <c r="A1554" s="7">
        <v>44117.82772331018</v>
      </c>
      <c r="B1554" s="8" t="s">
        <v>127</v>
      </c>
      <c r="C1554" s="8">
        <v>22063.0</v>
      </c>
      <c r="D1554" s="8" t="s">
        <v>69</v>
      </c>
      <c r="F1554" s="8" t="s">
        <v>185</v>
      </c>
      <c r="G1554" s="8">
        <v>3234.0</v>
      </c>
      <c r="H1554" s="8" t="s">
        <v>29</v>
      </c>
      <c r="I1554" s="8" t="s">
        <v>135</v>
      </c>
      <c r="L1554" s="8" t="s">
        <v>31</v>
      </c>
      <c r="M1554" s="8" t="s">
        <v>315</v>
      </c>
      <c r="P1554" s="9">
        <v>44117.0</v>
      </c>
      <c r="Q1554" s="10">
        <v>0.020833333335758653</v>
      </c>
      <c r="R1554" s="11" t="str">
        <f t="shared" si="1"/>
        <v>Подготовка компонентов к пайке</v>
      </c>
      <c r="S1554" s="16" t="str">
        <f>iferror(VLOOKUP(C1554,'ФИО'!A:B,2,0),"учётный код не найден")</f>
        <v>Белоглазов Сергей Анатольевич</v>
      </c>
      <c r="T1554" s="11" t="str">
        <f t="shared" si="162"/>
        <v>915-00101.A - ПКД-9В АСЛБ.467249.107 (Квант)</v>
      </c>
      <c r="U1554" s="8">
        <v>45.0</v>
      </c>
      <c r="V1554" s="8">
        <v>0.0</v>
      </c>
      <c r="W1554" s="17" t="str">
        <f t="shared" si="161"/>
        <v>Данные не заполены</v>
      </c>
      <c r="X1554" s="14" t="str">
        <f t="shared" si="154"/>
        <v>Данные не заполены</v>
      </c>
      <c r="Y1554" s="15">
        <f t="shared" si="155"/>
        <v>0</v>
      </c>
    </row>
    <row r="1555" hidden="1">
      <c r="A1555" s="7">
        <v>44116.83707869213</v>
      </c>
      <c r="B1555" s="8" t="s">
        <v>127</v>
      </c>
      <c r="C1555" s="8">
        <v>22063.0</v>
      </c>
      <c r="D1555" s="8" t="s">
        <v>69</v>
      </c>
      <c r="F1555" s="8" t="s">
        <v>103</v>
      </c>
      <c r="G1555" s="8">
        <v>3750.0</v>
      </c>
      <c r="H1555" s="8" t="s">
        <v>45</v>
      </c>
      <c r="K1555" s="8" t="s">
        <v>46</v>
      </c>
      <c r="L1555" s="8" t="s">
        <v>37</v>
      </c>
      <c r="M1555" s="8"/>
      <c r="N1555" s="8"/>
      <c r="O1555" s="8"/>
      <c r="P1555" s="9">
        <v>44116.0</v>
      </c>
      <c r="Q1555" s="10">
        <v>0.25</v>
      </c>
      <c r="R1555" s="11" t="str">
        <f t="shared" si="1"/>
        <v>Проверка на АОИ PRI</v>
      </c>
      <c r="S1555" s="16" t="str">
        <f>iferror(VLOOKUP(C1555,'ФИО'!A:B,2,0),"учётный код не найден")</f>
        <v>Белоглазов Сергей Анатольевич</v>
      </c>
      <c r="T1555" s="11" t="str">
        <f t="shared" si="162"/>
        <v>ПУ 910-00349.A "Печатный узел основного блока E96 4LIN"</v>
      </c>
      <c r="U1555" s="8">
        <v>106.0</v>
      </c>
      <c r="V1555" s="8">
        <v>12.0</v>
      </c>
      <c r="W1555" s="17" t="str">
        <f t="shared" si="161"/>
        <v>Данные не заполены</v>
      </c>
      <c r="X1555" s="14" t="str">
        <f t="shared" si="154"/>
        <v>Данные не заполены</v>
      </c>
      <c r="Y1555" s="15">
        <f t="shared" si="155"/>
        <v>0.1132075472</v>
      </c>
      <c r="Z1555" s="8" t="s">
        <v>316</v>
      </c>
    </row>
    <row r="1556" hidden="1">
      <c r="A1556" s="7">
        <v>44109.816446006946</v>
      </c>
      <c r="B1556" s="8" t="s">
        <v>127</v>
      </c>
      <c r="C1556" s="8">
        <v>22063.0</v>
      </c>
      <c r="D1556" s="8" t="s">
        <v>69</v>
      </c>
      <c r="F1556" s="8" t="s">
        <v>103</v>
      </c>
      <c r="G1556" s="8">
        <v>3232.0</v>
      </c>
      <c r="H1556" s="8" t="s">
        <v>29</v>
      </c>
      <c r="I1556" s="8" t="s">
        <v>63</v>
      </c>
      <c r="L1556" s="8" t="s">
        <v>31</v>
      </c>
      <c r="M1556" s="8" t="s">
        <v>314</v>
      </c>
      <c r="N1556" s="8"/>
      <c r="O1556" s="8"/>
      <c r="P1556" s="9">
        <v>44109.0</v>
      </c>
      <c r="Q1556" s="10">
        <v>0.08333333333575865</v>
      </c>
      <c r="R1556" s="11" t="str">
        <f t="shared" si="1"/>
        <v>Проверка на АОИ PRI</v>
      </c>
      <c r="S1556" s="16" t="str">
        <f>iferror(VLOOKUP(C1556,'ФИО'!A:B,2,0),"учётный код не найден")</f>
        <v>Белоглазов Сергей Анатольевич</v>
      </c>
      <c r="T1556" s="11" t="str">
        <f t="shared" si="162"/>
        <v>915-00103.A - ПБОК-1В АСЛБ.465285.012 (Квант)</v>
      </c>
      <c r="U1556" s="8">
        <v>28.0</v>
      </c>
      <c r="V1556" s="8">
        <v>1.0</v>
      </c>
      <c r="W1556" s="21" t="str">
        <f t="shared" si="161"/>
        <v>Данные не заполены</v>
      </c>
      <c r="X1556" s="15" t="str">
        <f t="shared" si="154"/>
        <v>Данные не заполены</v>
      </c>
      <c r="Y1556" s="15">
        <f t="shared" si="155"/>
        <v>0.03571428571</v>
      </c>
      <c r="Z1556" s="8" t="s">
        <v>317</v>
      </c>
    </row>
    <row r="1557" hidden="1">
      <c r="A1557" s="7">
        <v>44128.32041071759</v>
      </c>
      <c r="B1557" s="8" t="s">
        <v>126</v>
      </c>
      <c r="C1557" s="8">
        <v>22574.0</v>
      </c>
      <c r="D1557" s="8" t="s">
        <v>27</v>
      </c>
      <c r="E1557" s="8" t="s">
        <v>109</v>
      </c>
      <c r="G1557" s="8">
        <v>3621.0</v>
      </c>
      <c r="H1557" s="8" t="s">
        <v>29</v>
      </c>
      <c r="I1557" s="8" t="s">
        <v>30</v>
      </c>
      <c r="L1557" s="8" t="s">
        <v>37</v>
      </c>
      <c r="P1557" s="9">
        <v>44127.0</v>
      </c>
      <c r="Q1557" s="10">
        <v>0.08333333333575865</v>
      </c>
      <c r="R1557" s="11" t="str">
        <f t="shared" si="1"/>
        <v>Установка компонентов вручную</v>
      </c>
      <c r="S1557" s="16" t="str">
        <f>iferror(VLOOKUP(C1557,'ФИО'!A:B,2,0),"учётный код не найден")</f>
        <v>Шапенков Геннадий Михайлович</v>
      </c>
      <c r="T1557" s="13" t="str">
        <f t="shared" si="162"/>
        <v>915-00121.A - Процессорный модуль РСЕН.469555.027 (КНС Групп) в ТС</v>
      </c>
      <c r="U1557" s="8">
        <v>1.0</v>
      </c>
      <c r="V1557" s="8">
        <v>0.0</v>
      </c>
      <c r="W1557" s="17" t="str">
        <f t="shared" si="161"/>
        <v>Данные не заполены</v>
      </c>
      <c r="X1557" s="14" t="str">
        <f t="shared" si="154"/>
        <v>Данные не заполены</v>
      </c>
      <c r="Y1557" s="15">
        <f t="shared" si="155"/>
        <v>0</v>
      </c>
    </row>
    <row r="1558" hidden="1">
      <c r="A1558" s="7">
        <v>44128.31993373843</v>
      </c>
      <c r="B1558" s="8" t="s">
        <v>126</v>
      </c>
      <c r="C1558" s="8">
        <v>22063.0</v>
      </c>
      <c r="D1558" s="8" t="s">
        <v>27</v>
      </c>
      <c r="E1558" s="8" t="s">
        <v>109</v>
      </c>
      <c r="G1558" s="8">
        <v>3621.0</v>
      </c>
      <c r="H1558" s="8" t="s">
        <v>29</v>
      </c>
      <c r="I1558" s="8" t="s">
        <v>30</v>
      </c>
      <c r="L1558" s="8" t="s">
        <v>31</v>
      </c>
      <c r="M1558" s="8" t="s">
        <v>34</v>
      </c>
      <c r="P1558" s="9">
        <v>44127.0</v>
      </c>
      <c r="Q1558" s="10">
        <v>0.08333333333575865</v>
      </c>
      <c r="R1558" s="11" t="str">
        <f t="shared" si="1"/>
        <v>Установка компонентов вручную</v>
      </c>
      <c r="S1558" s="16" t="str">
        <f>iferror(VLOOKUP(C1558,'ФИО'!A:B,2,0),"учётный код не найден")</f>
        <v>Белоглазов Сергей Анатольевич</v>
      </c>
      <c r="T1558" s="13" t="str">
        <f t="shared" si="162"/>
        <v>915-00121.A - Процессорный модуль РСЕН.469555.027 (КНС Групп) в ТС</v>
      </c>
      <c r="U1558" s="8">
        <v>1.0</v>
      </c>
      <c r="V1558" s="8">
        <v>0.0</v>
      </c>
      <c r="W1558" s="17" t="str">
        <f t="shared" si="161"/>
        <v>Данные не заполены</v>
      </c>
      <c r="X1558" s="14" t="str">
        <f t="shared" si="154"/>
        <v>Данные не заполены</v>
      </c>
      <c r="Y1558" s="15">
        <f t="shared" si="155"/>
        <v>0</v>
      </c>
    </row>
    <row r="1559" hidden="1">
      <c r="A1559" s="7">
        <v>44129.310626921295</v>
      </c>
      <c r="B1559" s="8" t="s">
        <v>126</v>
      </c>
      <c r="C1559" s="8">
        <v>21171.0</v>
      </c>
      <c r="D1559" s="8" t="s">
        <v>27</v>
      </c>
      <c r="E1559" s="8" t="s">
        <v>62</v>
      </c>
      <c r="G1559" s="8">
        <v>3253.0</v>
      </c>
      <c r="H1559" s="8" t="s">
        <v>29</v>
      </c>
      <c r="I1559" s="8" t="s">
        <v>95</v>
      </c>
      <c r="L1559" s="8" t="s">
        <v>31</v>
      </c>
      <c r="M1559" s="8" t="s">
        <v>34</v>
      </c>
      <c r="P1559" s="9">
        <v>44128.0</v>
      </c>
      <c r="Q1559" s="10">
        <v>0.0625</v>
      </c>
      <c r="R1559" s="11" t="str">
        <f t="shared" si="1"/>
        <v>ReviewStation pri</v>
      </c>
      <c r="S1559" s="12" t="str">
        <f>iferror(VLOOKUP(C1559,'ФИО'!A:B,2,0),"учётный код не найден")</f>
        <v>Муртищева Ольга Валентиновна</v>
      </c>
      <c r="T1559" s="13" t="str">
        <f t="shared" si="162"/>
        <v>915-00095.A - ПКД-8В-1 АСЛБ.467249.108 (Квант)</v>
      </c>
      <c r="U1559" s="8">
        <v>0.0</v>
      </c>
      <c r="V1559" s="8">
        <v>15.0</v>
      </c>
      <c r="W1559" s="17" t="str">
        <f t="shared" si="161"/>
        <v>Данные не заполены</v>
      </c>
      <c r="X1559" s="14" t="str">
        <f t="shared" si="154"/>
        <v>Данные не заполены</v>
      </c>
      <c r="Y1559" s="30">
        <v>0.0</v>
      </c>
    </row>
    <row r="1560" hidden="1">
      <c r="A1560" s="7">
        <v>44117.826556932865</v>
      </c>
      <c r="B1560" s="8" t="s">
        <v>127</v>
      </c>
      <c r="C1560" s="8">
        <v>22063.0</v>
      </c>
      <c r="D1560" s="8" t="s">
        <v>69</v>
      </c>
      <c r="F1560" s="8" t="s">
        <v>103</v>
      </c>
      <c r="G1560" s="8">
        <v>3234.0</v>
      </c>
      <c r="H1560" s="8" t="s">
        <v>29</v>
      </c>
      <c r="I1560" s="8" t="s">
        <v>135</v>
      </c>
      <c r="L1560" s="8" t="s">
        <v>37</v>
      </c>
      <c r="P1560" s="9">
        <v>44117.0</v>
      </c>
      <c r="Q1560" s="10">
        <v>0.08333333333575865</v>
      </c>
      <c r="R1560" s="11" t="str">
        <f t="shared" si="1"/>
        <v>Проверка на АОИ PRI</v>
      </c>
      <c r="S1560" s="16" t="str">
        <f>iferror(VLOOKUP(C1560,'ФИО'!A:B,2,0),"учётный код не найден")</f>
        <v>Белоглазов Сергей Анатольевич</v>
      </c>
      <c r="T1560" s="11" t="str">
        <f t="shared" si="162"/>
        <v>915-00101.A - ПКД-9В АСЛБ.467249.107 (Квант)</v>
      </c>
      <c r="U1560" s="8">
        <v>50.0</v>
      </c>
      <c r="V1560" s="8">
        <v>0.0</v>
      </c>
      <c r="W1560" s="17" t="str">
        <f t="shared" si="161"/>
        <v>Данные не заполены</v>
      </c>
      <c r="X1560" s="14" t="str">
        <f t="shared" si="154"/>
        <v>Данные не заполены</v>
      </c>
      <c r="Y1560" s="15">
        <f t="shared" ref="Y1560:Y1733" si="163">iferror((V1560/if(U1560=0,1,U1560)),0)</f>
        <v>0</v>
      </c>
    </row>
    <row r="1561" hidden="1">
      <c r="A1561" s="7">
        <v>44113.333736307875</v>
      </c>
      <c r="B1561" s="8" t="s">
        <v>126</v>
      </c>
      <c r="C1561" s="8">
        <v>21927.0</v>
      </c>
      <c r="D1561" s="8" t="s">
        <v>27</v>
      </c>
      <c r="E1561" s="8" t="s">
        <v>244</v>
      </c>
      <c r="G1561" s="8">
        <v>3726.0</v>
      </c>
      <c r="H1561" s="8" t="s">
        <v>45</v>
      </c>
      <c r="K1561" s="8" t="s">
        <v>58</v>
      </c>
      <c r="L1561" s="8" t="s">
        <v>31</v>
      </c>
      <c r="M1561" s="8" t="s">
        <v>34</v>
      </c>
      <c r="N1561" s="8"/>
      <c r="O1561" s="8"/>
      <c r="P1561" s="9">
        <v>44112.0</v>
      </c>
      <c r="Q1561" s="10">
        <v>0.0625</v>
      </c>
      <c r="R1561" s="11" t="str">
        <f t="shared" si="1"/>
        <v>ReviewStation sec</v>
      </c>
      <c r="S1561" s="16" t="str">
        <f>iferror(VLOOKUP(C1561,'ФИО'!A:B,2,0),"учётный код не найден")</f>
        <v>Шергин Родион Олегович</v>
      </c>
      <c r="T1561" s="13" t="str">
        <f t="shared" si="162"/>
        <v>ПУ метки i95</v>
      </c>
      <c r="U1561" s="8">
        <v>0.0</v>
      </c>
      <c r="V1561" s="8">
        <v>0.0</v>
      </c>
      <c r="W1561" s="21" t="str">
        <f t="shared" si="161"/>
        <v>Данные не заполены</v>
      </c>
      <c r="X1561" s="15" t="str">
        <f t="shared" si="154"/>
        <v>Данные не заполены</v>
      </c>
      <c r="Y1561" s="15">
        <f t="shared" si="163"/>
        <v>0</v>
      </c>
    </row>
    <row r="1562" hidden="1">
      <c r="A1562" s="7">
        <v>44128.32920320602</v>
      </c>
      <c r="B1562" s="8" t="s">
        <v>126</v>
      </c>
      <c r="C1562" s="8">
        <v>21927.0</v>
      </c>
      <c r="D1562" s="8" t="s">
        <v>27</v>
      </c>
      <c r="E1562" s="8" t="s">
        <v>244</v>
      </c>
      <c r="G1562" s="8">
        <v>3804.0</v>
      </c>
      <c r="H1562" s="8" t="s">
        <v>45</v>
      </c>
      <c r="K1562" s="8" t="s">
        <v>52</v>
      </c>
      <c r="L1562" s="8" t="s">
        <v>31</v>
      </c>
      <c r="M1562" s="8" t="s">
        <v>34</v>
      </c>
      <c r="P1562" s="9">
        <v>44127.0</v>
      </c>
      <c r="Q1562" s="10">
        <v>0.04166666666424135</v>
      </c>
      <c r="R1562" s="11" t="str">
        <f t="shared" si="1"/>
        <v>ReviewStation sec</v>
      </c>
      <c r="S1562" s="16" t="str">
        <f>iferror(VLOOKUP(C1562,'ФИО'!A:B,2,0),"учётный код не найден")</f>
        <v>Шергин Родион Олегович</v>
      </c>
      <c r="T1562" s="13" t="str">
        <f t="shared" si="162"/>
        <v>М17V2 (900-00018.D)_910-00023.H и ПУ 910-00012.I</v>
      </c>
      <c r="U1562" s="8">
        <v>0.0</v>
      </c>
      <c r="V1562" s="8">
        <v>0.0</v>
      </c>
      <c r="W1562" s="17" t="str">
        <f t="shared" si="161"/>
        <v>Данные не заполены</v>
      </c>
      <c r="X1562" s="14" t="str">
        <f t="shared" si="154"/>
        <v>Данные не заполены</v>
      </c>
      <c r="Y1562" s="15">
        <f t="shared" si="163"/>
        <v>0</v>
      </c>
    </row>
    <row r="1563" hidden="1">
      <c r="A1563" s="7">
        <v>44128.33371847222</v>
      </c>
      <c r="B1563" s="8" t="s">
        <v>126</v>
      </c>
      <c r="C1563" s="8">
        <v>21171.0</v>
      </c>
      <c r="D1563" s="8" t="s">
        <v>27</v>
      </c>
      <c r="E1563" s="8" t="s">
        <v>244</v>
      </c>
      <c r="G1563" s="8">
        <v>3622.0</v>
      </c>
      <c r="H1563" s="8" t="s">
        <v>29</v>
      </c>
      <c r="I1563" s="8" t="s">
        <v>90</v>
      </c>
      <c r="L1563" s="8" t="s">
        <v>31</v>
      </c>
      <c r="M1563" s="8" t="s">
        <v>34</v>
      </c>
      <c r="P1563" s="9">
        <v>44127.0</v>
      </c>
      <c r="Q1563" s="10">
        <v>0.055555555554747116</v>
      </c>
      <c r="R1563" s="11" t="str">
        <f t="shared" si="1"/>
        <v>ReviewStation sec</v>
      </c>
      <c r="S1563" s="16" t="str">
        <f>iferror(VLOOKUP(C1563,'ФИО'!A:B,2,0),"учётный код не найден")</f>
        <v>Муртищева Ольга Валентиновна</v>
      </c>
      <c r="T1563" s="13" t="str">
        <f t="shared" si="162"/>
        <v>915-00124.A - Tioga Pass_v1.1 (Гагар.ин)</v>
      </c>
      <c r="U1563" s="8">
        <v>0.0</v>
      </c>
      <c r="V1563" s="8">
        <v>3.0</v>
      </c>
      <c r="W1563" s="17" t="str">
        <f t="shared" si="161"/>
        <v>Данные не заполены</v>
      </c>
      <c r="X1563" s="14" t="str">
        <f t="shared" si="154"/>
        <v>Данные не заполены</v>
      </c>
      <c r="Y1563" s="15">
        <f t="shared" si="163"/>
        <v>3</v>
      </c>
      <c r="Z1563" s="8" t="s">
        <v>261</v>
      </c>
    </row>
    <row r="1564" hidden="1">
      <c r="A1564" s="7">
        <v>44129.32073570602</v>
      </c>
      <c r="B1564" s="8" t="s">
        <v>126</v>
      </c>
      <c r="C1564" s="8">
        <v>21171.0</v>
      </c>
      <c r="D1564" s="8" t="s">
        <v>27</v>
      </c>
      <c r="E1564" s="8" t="s">
        <v>244</v>
      </c>
      <c r="G1564" s="8">
        <v>3804.0</v>
      </c>
      <c r="H1564" s="8" t="s">
        <v>45</v>
      </c>
      <c r="K1564" s="8" t="s">
        <v>52</v>
      </c>
      <c r="L1564" s="8" t="s">
        <v>31</v>
      </c>
      <c r="M1564" s="8" t="s">
        <v>34</v>
      </c>
      <c r="P1564" s="9">
        <v>44128.0</v>
      </c>
      <c r="Q1564" s="10">
        <v>0.20833333333575865</v>
      </c>
      <c r="R1564" s="11" t="str">
        <f t="shared" si="1"/>
        <v>ReviewStation sec</v>
      </c>
      <c r="S1564" s="12" t="str">
        <f>iferror(VLOOKUP(C1564,'ФИО'!A:B,2,0),"учётный код не найден")</f>
        <v>Муртищева Ольга Валентиновна</v>
      </c>
      <c r="T1564" s="13" t="str">
        <f t="shared" si="162"/>
        <v>М17V2 (900-00018.D)_910-00023.H и ПУ 910-00012.I</v>
      </c>
      <c r="U1564" s="8">
        <v>1141.0</v>
      </c>
      <c r="V1564" s="8">
        <v>399.0</v>
      </c>
      <c r="W1564" s="17" t="str">
        <f t="shared" si="161"/>
        <v>Данные не заполены</v>
      </c>
      <c r="X1564" s="14" t="str">
        <f t="shared" si="154"/>
        <v>Данные не заполены</v>
      </c>
      <c r="Y1564" s="15">
        <f t="shared" si="163"/>
        <v>0.3496932515</v>
      </c>
      <c r="Z1564" s="25" t="s">
        <v>264</v>
      </c>
    </row>
    <row r="1565" hidden="1">
      <c r="A1565" s="7">
        <v>44124.82345510417</v>
      </c>
      <c r="B1565" s="8" t="s">
        <v>127</v>
      </c>
      <c r="C1565" s="8">
        <v>22063.0</v>
      </c>
      <c r="D1565" s="8" t="s">
        <v>27</v>
      </c>
      <c r="E1565" s="8" t="s">
        <v>66</v>
      </c>
      <c r="G1565" s="8">
        <v>3804.0</v>
      </c>
      <c r="H1565" s="8" t="s">
        <v>45</v>
      </c>
      <c r="K1565" s="8" t="s">
        <v>52</v>
      </c>
      <c r="L1565" s="8" t="s">
        <v>31</v>
      </c>
      <c r="M1565" s="8" t="s">
        <v>34</v>
      </c>
      <c r="P1565" s="9">
        <v>44124.0</v>
      </c>
      <c r="Q1565" s="10">
        <v>0.07638888889050577</v>
      </c>
      <c r="R1565" s="11" t="str">
        <f t="shared" si="1"/>
        <v>Проверка первой платы до оплавления</v>
      </c>
      <c r="S1565" s="16" t="str">
        <f>iferror(VLOOKUP(C1565,'ФИО'!A:B,2,0),"учётный код не найден")</f>
        <v>Белоглазов Сергей Анатольевич</v>
      </c>
      <c r="T1565" s="11" t="str">
        <f t="shared" si="162"/>
        <v>М17V2 (900-00018.D)_910-00023.H и ПУ 910-00012.I</v>
      </c>
      <c r="U1565" s="8">
        <v>0.0</v>
      </c>
      <c r="V1565" s="8">
        <v>0.0</v>
      </c>
      <c r="W1565" s="17" t="str">
        <f t="shared" si="161"/>
        <v>Данные не заполены</v>
      </c>
      <c r="X1565" s="14" t="str">
        <f t="shared" si="154"/>
        <v>Данные не заполены</v>
      </c>
      <c r="Y1565" s="15">
        <f t="shared" si="163"/>
        <v>0</v>
      </c>
    </row>
    <row r="1566" hidden="1">
      <c r="A1566" s="7">
        <v>44134.32357758102</v>
      </c>
      <c r="B1566" s="8" t="s">
        <v>94</v>
      </c>
      <c r="C1566" s="8">
        <v>22575.0</v>
      </c>
      <c r="D1566" s="8" t="s">
        <v>27</v>
      </c>
      <c r="E1566" s="8" t="s">
        <v>82</v>
      </c>
      <c r="G1566" s="8">
        <v>3621.0</v>
      </c>
      <c r="H1566" s="8" t="s">
        <v>29</v>
      </c>
      <c r="I1566" s="8" t="s">
        <v>30</v>
      </c>
      <c r="L1566" s="8" t="s">
        <v>31</v>
      </c>
      <c r="M1566" s="8" t="s">
        <v>34</v>
      </c>
      <c r="P1566" s="9">
        <v>44133.0</v>
      </c>
      <c r="Q1566" s="10">
        <v>0.09722222221898846</v>
      </c>
      <c r="R1566" s="11" t="str">
        <f t="shared" si="1"/>
        <v>Настройка установщиков</v>
      </c>
      <c r="S1566" s="12" t="str">
        <f>iferror(VLOOKUP(C1566,'ФИО'!A:B,2,0),"учётный код не найден")</f>
        <v>Куликов Виктор Алексеевич</v>
      </c>
      <c r="T1566" s="13" t="str">
        <f t="shared" si="162"/>
        <v>915-00121.A - Процессорный модуль РСЕН.469555.027 (КНС Групп) в ТС</v>
      </c>
      <c r="U1566" s="8">
        <v>4.0</v>
      </c>
      <c r="V1566" s="8">
        <v>0.0</v>
      </c>
      <c r="W1566" s="17" t="str">
        <f t="shared" si="161"/>
        <v>Данные не заполены</v>
      </c>
      <c r="X1566" s="14" t="str">
        <f t="shared" si="154"/>
        <v>Данные не заполены</v>
      </c>
      <c r="Y1566" s="15">
        <f t="shared" si="163"/>
        <v>0</v>
      </c>
    </row>
    <row r="1567" hidden="1">
      <c r="A1567" s="7">
        <v>44134.326104884254</v>
      </c>
      <c r="B1567" s="8" t="s">
        <v>94</v>
      </c>
      <c r="C1567" s="8">
        <v>22575.0</v>
      </c>
      <c r="D1567" s="8" t="s">
        <v>27</v>
      </c>
      <c r="E1567" s="8" t="s">
        <v>109</v>
      </c>
      <c r="G1567" s="8">
        <v>3621.0</v>
      </c>
      <c r="H1567" s="8" t="s">
        <v>29</v>
      </c>
      <c r="I1567" s="8" t="s">
        <v>30</v>
      </c>
      <c r="L1567" s="8" t="s">
        <v>31</v>
      </c>
      <c r="M1567" s="8" t="s">
        <v>34</v>
      </c>
      <c r="P1567" s="9">
        <v>44133.0</v>
      </c>
      <c r="Q1567" s="10">
        <v>0.06944444444525288</v>
      </c>
      <c r="R1567" s="11" t="str">
        <f t="shared" si="1"/>
        <v>Установка компонентов вручную</v>
      </c>
      <c r="S1567" s="12" t="str">
        <f>iferror(VLOOKUP(C1567,'ФИО'!A:B,2,0),"учётный код не найден")</f>
        <v>Куликов Виктор Алексеевич</v>
      </c>
      <c r="T1567" s="13" t="str">
        <f t="shared" si="162"/>
        <v>915-00121.A - Процессорный модуль РСЕН.469555.027 (КНС Групп) в ТС</v>
      </c>
      <c r="U1567" s="8">
        <v>0.0</v>
      </c>
      <c r="V1567" s="8">
        <v>0.0</v>
      </c>
      <c r="W1567" s="17" t="str">
        <f t="shared" si="161"/>
        <v>Данные не заполены</v>
      </c>
      <c r="X1567" s="14" t="str">
        <f t="shared" si="154"/>
        <v>Данные не заполены</v>
      </c>
      <c r="Y1567" s="15">
        <f t="shared" si="163"/>
        <v>0</v>
      </c>
    </row>
    <row r="1568" hidden="1">
      <c r="A1568" s="7">
        <v>44134.32787314815</v>
      </c>
      <c r="B1568" s="8" t="s">
        <v>94</v>
      </c>
      <c r="C1568" s="8">
        <v>22575.0</v>
      </c>
      <c r="D1568" s="8" t="s">
        <v>27</v>
      </c>
      <c r="E1568" s="8" t="s">
        <v>88</v>
      </c>
      <c r="G1568" s="8">
        <v>3621.0</v>
      </c>
      <c r="H1568" s="8" t="s">
        <v>29</v>
      </c>
      <c r="I1568" s="8" t="s">
        <v>30</v>
      </c>
      <c r="L1568" s="8" t="s">
        <v>37</v>
      </c>
      <c r="P1568" s="9">
        <v>44133.0</v>
      </c>
      <c r="Q1568" s="10">
        <v>0.29166666666424135</v>
      </c>
      <c r="R1568" s="11" t="str">
        <f t="shared" si="1"/>
        <v>Сборка на линии Sec</v>
      </c>
      <c r="S1568" s="12" t="str">
        <f>iferror(VLOOKUP(C1568,'ФИО'!A:B,2,0),"учётный код не найден")</f>
        <v>Куликов Виктор Алексеевич</v>
      </c>
      <c r="T1568" s="13" t="str">
        <f t="shared" si="162"/>
        <v>915-00121.A - Процессорный модуль РСЕН.469555.027 (КНС Групп) в ТС</v>
      </c>
      <c r="U1568" s="8">
        <v>0.0</v>
      </c>
      <c r="V1568" s="8">
        <v>0.0</v>
      </c>
      <c r="W1568" s="17" t="str">
        <f t="shared" si="161"/>
        <v>Данные не заполены</v>
      </c>
      <c r="X1568" s="14" t="str">
        <f t="shared" si="154"/>
        <v>Данные не заполены</v>
      </c>
      <c r="Y1568" s="15">
        <f t="shared" si="163"/>
        <v>0</v>
      </c>
    </row>
    <row r="1569" hidden="1">
      <c r="A1569" s="7">
        <v>44134.31118586806</v>
      </c>
      <c r="B1569" s="8" t="s">
        <v>94</v>
      </c>
      <c r="C1569" s="8">
        <v>20985.0</v>
      </c>
      <c r="D1569" s="8" t="s">
        <v>27</v>
      </c>
      <c r="E1569" s="8" t="s">
        <v>82</v>
      </c>
      <c r="G1569" s="8">
        <v>3621.0</v>
      </c>
      <c r="H1569" s="8" t="s">
        <v>29</v>
      </c>
      <c r="I1569" s="8" t="s">
        <v>54</v>
      </c>
      <c r="L1569" s="8" t="s">
        <v>31</v>
      </c>
      <c r="M1569" s="8" t="s">
        <v>34</v>
      </c>
      <c r="P1569" s="9">
        <v>44133.0</v>
      </c>
      <c r="Q1569" s="10">
        <v>0.16666666666424135</v>
      </c>
      <c r="R1569" s="11" t="str">
        <f t="shared" si="1"/>
        <v>Настройка установщиков</v>
      </c>
      <c r="S1569" s="12" t="str">
        <f>iferror(VLOOKUP(C1569,'ФИО'!A:B,2,0),"учётный код не найден")</f>
        <v>Никонорова Наталия Владимировна</v>
      </c>
      <c r="T1569" s="13" t="str">
        <f t="shared" si="162"/>
        <v>915-00121.A - Процессорный модуль РСЕН.469555.027 (КНС Групп)</v>
      </c>
      <c r="U1569" s="8">
        <v>0.0</v>
      </c>
      <c r="V1569" s="8">
        <v>0.0</v>
      </c>
      <c r="W1569" s="17" t="str">
        <f t="shared" si="161"/>
        <v>Данные не заполены</v>
      </c>
      <c r="X1569" s="14" t="str">
        <f t="shared" si="154"/>
        <v>Данные не заполены</v>
      </c>
      <c r="Y1569" s="15">
        <f t="shared" si="163"/>
        <v>0</v>
      </c>
    </row>
    <row r="1570" hidden="1">
      <c r="A1570" s="7">
        <v>44134.31226622685</v>
      </c>
      <c r="B1570" s="8" t="s">
        <v>94</v>
      </c>
      <c r="C1570" s="8">
        <v>20985.0</v>
      </c>
      <c r="D1570" s="8" t="s">
        <v>27</v>
      </c>
      <c r="E1570" s="8" t="s">
        <v>88</v>
      </c>
      <c r="G1570" s="8">
        <v>3621.0</v>
      </c>
      <c r="H1570" s="8" t="s">
        <v>29</v>
      </c>
      <c r="I1570" s="8" t="s">
        <v>54</v>
      </c>
      <c r="L1570" s="8" t="s">
        <v>31</v>
      </c>
      <c r="M1570" s="8" t="s">
        <v>318</v>
      </c>
      <c r="P1570" s="9">
        <v>44133.0</v>
      </c>
      <c r="Q1570" s="10">
        <v>0.25</v>
      </c>
      <c r="R1570" s="11" t="str">
        <f t="shared" si="1"/>
        <v>Сборка на линии Sec</v>
      </c>
      <c r="S1570" s="12" t="str">
        <f>iferror(VLOOKUP(C1570,'ФИО'!A:B,2,0),"учётный код не найден")</f>
        <v>Никонорова Наталия Владимировна</v>
      </c>
      <c r="T1570" s="13" t="str">
        <f t="shared" si="162"/>
        <v>915-00121.A - Процессорный модуль РСЕН.469555.027 (КНС Групп)</v>
      </c>
      <c r="U1570" s="8">
        <v>0.0</v>
      </c>
      <c r="V1570" s="8">
        <v>0.0</v>
      </c>
      <c r="W1570" s="17" t="str">
        <f t="shared" si="161"/>
        <v>Данные не заполены</v>
      </c>
      <c r="X1570" s="14" t="str">
        <f t="shared" si="154"/>
        <v>Данные не заполены</v>
      </c>
      <c r="Y1570" s="15">
        <f t="shared" si="163"/>
        <v>0</v>
      </c>
    </row>
    <row r="1571" hidden="1">
      <c r="A1571" s="7">
        <v>44134.31327128472</v>
      </c>
      <c r="B1571" s="8" t="s">
        <v>94</v>
      </c>
      <c r="C1571" s="8">
        <v>20985.0</v>
      </c>
      <c r="D1571" s="8" t="s">
        <v>27</v>
      </c>
      <c r="E1571" s="8" t="s">
        <v>66</v>
      </c>
      <c r="G1571" s="8">
        <v>3621.0</v>
      </c>
      <c r="H1571" s="8" t="s">
        <v>29</v>
      </c>
      <c r="I1571" s="8" t="s">
        <v>54</v>
      </c>
      <c r="L1571" s="8" t="s">
        <v>31</v>
      </c>
      <c r="M1571" s="8" t="s">
        <v>34</v>
      </c>
      <c r="P1571" s="9">
        <v>44133.0</v>
      </c>
      <c r="Q1571" s="10">
        <v>0.04166666666424135</v>
      </c>
      <c r="R1571" s="11" t="str">
        <f t="shared" si="1"/>
        <v>Проверка первой платы до оплавления</v>
      </c>
      <c r="S1571" s="12" t="str">
        <f>iferror(VLOOKUP(C1571,'ФИО'!A:B,2,0),"учётный код не найден")</f>
        <v>Никонорова Наталия Владимировна</v>
      </c>
      <c r="T1571" s="13" t="str">
        <f t="shared" si="162"/>
        <v>915-00121.A - Процессорный модуль РСЕН.469555.027 (КНС Групп)</v>
      </c>
      <c r="U1571" s="8">
        <v>0.0</v>
      </c>
      <c r="V1571" s="8">
        <v>0.0</v>
      </c>
      <c r="W1571" s="17" t="str">
        <f t="shared" si="161"/>
        <v>Данные не заполены</v>
      </c>
      <c r="X1571" s="14" t="str">
        <f t="shared" si="154"/>
        <v>Данные не заполены</v>
      </c>
      <c r="Y1571" s="15">
        <f t="shared" si="163"/>
        <v>0</v>
      </c>
    </row>
    <row r="1572" hidden="1">
      <c r="A1572" s="7">
        <v>44134.31178659722</v>
      </c>
      <c r="B1572" s="8" t="s">
        <v>94</v>
      </c>
      <c r="C1572" s="8">
        <v>21928.0</v>
      </c>
      <c r="D1572" s="8" t="s">
        <v>27</v>
      </c>
      <c r="E1572" s="8" t="s">
        <v>121</v>
      </c>
      <c r="G1572" s="8">
        <v>3621.0</v>
      </c>
      <c r="H1572" s="8" t="s">
        <v>29</v>
      </c>
      <c r="I1572" s="8" t="s">
        <v>54</v>
      </c>
      <c r="L1572" s="8" t="s">
        <v>31</v>
      </c>
      <c r="M1572" s="8" t="s">
        <v>34</v>
      </c>
      <c r="P1572" s="9">
        <v>44133.0</v>
      </c>
      <c r="Q1572" s="10">
        <v>0.16666666666424135</v>
      </c>
      <c r="R1572" s="11" t="str">
        <f t="shared" si="1"/>
        <v>Настройка линии Secondary</v>
      </c>
      <c r="S1572" s="12" t="str">
        <f>iferror(VLOOKUP(C1572,'ФИО'!A:B,2,0),"учётный код не найден")</f>
        <v>Савченко Виктория Андреевна</v>
      </c>
      <c r="T1572" s="13" t="str">
        <f t="shared" si="162"/>
        <v>915-00121.A - Процессорный модуль РСЕН.469555.027 (КНС Групп)</v>
      </c>
      <c r="U1572" s="8">
        <v>0.0</v>
      </c>
      <c r="V1572" s="8">
        <v>0.0</v>
      </c>
      <c r="W1572" s="17" t="str">
        <f t="shared" si="161"/>
        <v>Данные не заполены</v>
      </c>
      <c r="X1572" s="14" t="str">
        <f t="shared" si="154"/>
        <v>Данные не заполены</v>
      </c>
      <c r="Y1572" s="15">
        <f t="shared" si="163"/>
        <v>0</v>
      </c>
    </row>
    <row r="1573" hidden="1">
      <c r="A1573" s="7">
        <v>44134.31271226852</v>
      </c>
      <c r="B1573" s="8" t="s">
        <v>94</v>
      </c>
      <c r="C1573" s="8">
        <v>21928.0</v>
      </c>
      <c r="D1573" s="8" t="s">
        <v>27</v>
      </c>
      <c r="E1573" s="8" t="s">
        <v>88</v>
      </c>
      <c r="G1573" s="8">
        <v>3621.0</v>
      </c>
      <c r="H1573" s="8" t="s">
        <v>29</v>
      </c>
      <c r="I1573" s="8" t="s">
        <v>54</v>
      </c>
      <c r="L1573" s="8" t="s">
        <v>37</v>
      </c>
      <c r="P1573" s="9">
        <v>44133.0</v>
      </c>
      <c r="Q1573" s="10">
        <v>0.25</v>
      </c>
      <c r="R1573" s="11" t="str">
        <f t="shared" si="1"/>
        <v>Сборка на линии Sec</v>
      </c>
      <c r="S1573" s="12" t="str">
        <f>iferror(VLOOKUP(C1573,'ФИО'!A:B,2,0),"учётный код не найден")</f>
        <v>Савченко Виктория Андреевна</v>
      </c>
      <c r="T1573" s="13" t="str">
        <f t="shared" si="162"/>
        <v>915-00121.A - Процессорный модуль РСЕН.469555.027 (КНС Групп)</v>
      </c>
      <c r="U1573" s="8">
        <v>0.0</v>
      </c>
      <c r="V1573" s="8">
        <v>0.0</v>
      </c>
      <c r="W1573" s="17" t="str">
        <f t="shared" si="161"/>
        <v>Данные не заполены</v>
      </c>
      <c r="X1573" s="14" t="str">
        <f t="shared" si="154"/>
        <v>Данные не заполены</v>
      </c>
      <c r="Y1573" s="15">
        <f t="shared" si="163"/>
        <v>0</v>
      </c>
    </row>
    <row r="1574" hidden="1">
      <c r="A1574" s="7">
        <v>44134.313444583335</v>
      </c>
      <c r="B1574" s="8" t="s">
        <v>94</v>
      </c>
      <c r="C1574" s="8">
        <v>21928.0</v>
      </c>
      <c r="D1574" s="8" t="s">
        <v>27</v>
      </c>
      <c r="E1574" s="8" t="s">
        <v>66</v>
      </c>
      <c r="G1574" s="8">
        <v>3621.0</v>
      </c>
      <c r="H1574" s="8" t="s">
        <v>29</v>
      </c>
      <c r="I1574" s="8" t="s">
        <v>54</v>
      </c>
      <c r="L1574" s="8" t="s">
        <v>31</v>
      </c>
      <c r="M1574" s="8" t="s">
        <v>34</v>
      </c>
      <c r="P1574" s="9">
        <v>44133.0</v>
      </c>
      <c r="Q1574" s="10">
        <v>0.04166666666424135</v>
      </c>
      <c r="R1574" s="11" t="str">
        <f t="shared" si="1"/>
        <v>Проверка первой платы до оплавления</v>
      </c>
      <c r="S1574" s="12" t="str">
        <f>iferror(VLOOKUP(C1574,'ФИО'!A:B,2,0),"учётный код не найден")</f>
        <v>Савченко Виктория Андреевна</v>
      </c>
      <c r="T1574" s="13" t="str">
        <f t="shared" si="162"/>
        <v>915-00121.A - Процессорный модуль РСЕН.469555.027 (КНС Групп)</v>
      </c>
      <c r="U1574" s="8">
        <v>0.0</v>
      </c>
      <c r="V1574" s="8">
        <v>0.0</v>
      </c>
      <c r="W1574" s="17" t="str">
        <f t="shared" si="161"/>
        <v>Данные не заполены</v>
      </c>
      <c r="X1574" s="14" t="str">
        <f t="shared" si="154"/>
        <v>Данные не заполены</v>
      </c>
      <c r="Y1574" s="15">
        <f t="shared" si="163"/>
        <v>0</v>
      </c>
    </row>
    <row r="1575" hidden="1">
      <c r="A1575" s="7">
        <v>44134.31594023148</v>
      </c>
      <c r="B1575" s="8" t="s">
        <v>94</v>
      </c>
      <c r="C1575" s="8">
        <v>21426.0</v>
      </c>
      <c r="D1575" s="8" t="s">
        <v>27</v>
      </c>
      <c r="E1575" s="8" t="s">
        <v>82</v>
      </c>
      <c r="G1575" s="8">
        <v>3621.0</v>
      </c>
      <c r="H1575" s="8" t="s">
        <v>29</v>
      </c>
      <c r="I1575" s="8" t="s">
        <v>54</v>
      </c>
      <c r="L1575" s="8" t="s">
        <v>31</v>
      </c>
      <c r="M1575" s="8" t="s">
        <v>34</v>
      </c>
      <c r="P1575" s="9">
        <v>44133.0</v>
      </c>
      <c r="Q1575" s="10">
        <v>0.125</v>
      </c>
      <c r="R1575" s="11" t="str">
        <f t="shared" si="1"/>
        <v>Настройка установщиков</v>
      </c>
      <c r="S1575" s="12" t="str">
        <f>iferror(VLOOKUP(C1575,'ФИО'!A:B,2,0),"учётный код не найден")</f>
        <v>Скибинский Антон Германович</v>
      </c>
      <c r="T1575" s="13" t="str">
        <f t="shared" si="162"/>
        <v>915-00121.A - Процессорный модуль РСЕН.469555.027 (КНС Групп)</v>
      </c>
      <c r="U1575" s="8">
        <v>0.0</v>
      </c>
      <c r="V1575" s="8">
        <v>0.0</v>
      </c>
      <c r="W1575" s="17" t="str">
        <f t="shared" si="161"/>
        <v>Данные не заполены</v>
      </c>
      <c r="X1575" s="14" t="str">
        <f t="shared" si="154"/>
        <v>Данные не заполены</v>
      </c>
      <c r="Y1575" s="15">
        <f t="shared" si="163"/>
        <v>0</v>
      </c>
    </row>
    <row r="1576" hidden="1">
      <c r="A1576" s="7">
        <v>44134.31651106481</v>
      </c>
      <c r="B1576" s="8" t="s">
        <v>94</v>
      </c>
      <c r="C1576" s="8">
        <v>21426.0</v>
      </c>
      <c r="D1576" s="8" t="s">
        <v>27</v>
      </c>
      <c r="E1576" s="8" t="s">
        <v>121</v>
      </c>
      <c r="G1576" s="8">
        <v>3621.0</v>
      </c>
      <c r="H1576" s="8" t="s">
        <v>29</v>
      </c>
      <c r="I1576" s="8" t="s">
        <v>54</v>
      </c>
      <c r="L1576" s="8" t="s">
        <v>31</v>
      </c>
      <c r="M1576" s="8" t="s">
        <v>34</v>
      </c>
      <c r="P1576" s="9">
        <v>44133.0</v>
      </c>
      <c r="Q1576" s="10">
        <v>0.08333333333575865</v>
      </c>
      <c r="R1576" s="11" t="str">
        <f t="shared" si="1"/>
        <v>Настройка линии Secondary</v>
      </c>
      <c r="S1576" s="12" t="str">
        <f>iferror(VLOOKUP(C1576,'ФИО'!A:B,2,0),"учётный код не найден")</f>
        <v>Скибинский Антон Германович</v>
      </c>
      <c r="T1576" s="13" t="str">
        <f t="shared" si="162"/>
        <v>915-00121.A - Процессорный модуль РСЕН.469555.027 (КНС Групп)</v>
      </c>
      <c r="U1576" s="8">
        <v>0.0</v>
      </c>
      <c r="V1576" s="8">
        <v>0.0</v>
      </c>
      <c r="W1576" s="17" t="str">
        <f t="shared" si="161"/>
        <v>Данные не заполены</v>
      </c>
      <c r="X1576" s="14" t="str">
        <f t="shared" si="154"/>
        <v>Данные не заполены</v>
      </c>
      <c r="Y1576" s="15">
        <f t="shared" si="163"/>
        <v>0</v>
      </c>
    </row>
    <row r="1577" hidden="1">
      <c r="A1577" s="7">
        <v>44134.320664652776</v>
      </c>
      <c r="B1577" s="8" t="s">
        <v>94</v>
      </c>
      <c r="C1577" s="8">
        <v>21426.0</v>
      </c>
      <c r="D1577" s="8" t="s">
        <v>27</v>
      </c>
      <c r="E1577" s="8" t="s">
        <v>88</v>
      </c>
      <c r="G1577" s="8">
        <v>3621.0</v>
      </c>
      <c r="H1577" s="8" t="s">
        <v>29</v>
      </c>
      <c r="I1577" s="8" t="s">
        <v>54</v>
      </c>
      <c r="L1577" s="8" t="s">
        <v>31</v>
      </c>
      <c r="M1577" s="8" t="s">
        <v>319</v>
      </c>
      <c r="P1577" s="9">
        <v>44133.0</v>
      </c>
      <c r="Q1577" s="10">
        <v>0.16666666666424135</v>
      </c>
      <c r="R1577" s="11" t="str">
        <f t="shared" si="1"/>
        <v>Сборка на линии Sec</v>
      </c>
      <c r="S1577" s="12" t="str">
        <f>iferror(VLOOKUP(C1577,'ФИО'!A:B,2,0),"учётный код не найден")</f>
        <v>Скибинский Антон Германович</v>
      </c>
      <c r="T1577" s="13" t="str">
        <f t="shared" si="162"/>
        <v>915-00121.A - Процессорный модуль РСЕН.469555.027 (КНС Групп)</v>
      </c>
      <c r="U1577" s="8">
        <v>1.0</v>
      </c>
      <c r="V1577" s="8">
        <v>0.0</v>
      </c>
      <c r="W1577" s="17" t="str">
        <f t="shared" si="161"/>
        <v>Данные не заполены</v>
      </c>
      <c r="X1577" s="14" t="str">
        <f t="shared" si="154"/>
        <v>Данные не заполены</v>
      </c>
      <c r="Y1577" s="15">
        <f t="shared" si="163"/>
        <v>0</v>
      </c>
    </row>
    <row r="1578" hidden="1">
      <c r="A1578" s="7">
        <v>44134.32117980324</v>
      </c>
      <c r="B1578" s="8" t="s">
        <v>94</v>
      </c>
      <c r="C1578" s="8">
        <v>21426.0</v>
      </c>
      <c r="D1578" s="8" t="s">
        <v>27</v>
      </c>
      <c r="E1578" s="8" t="s">
        <v>48</v>
      </c>
      <c r="L1578" s="8" t="s">
        <v>31</v>
      </c>
      <c r="M1578" s="8" t="s">
        <v>34</v>
      </c>
      <c r="P1578" s="9">
        <v>44133.0</v>
      </c>
      <c r="Q1578" s="10">
        <v>0.08333333333575865</v>
      </c>
      <c r="R1578" s="11" t="str">
        <f t="shared" si="1"/>
        <v>Выполнение организационных работ</v>
      </c>
      <c r="S1578" s="12" t="str">
        <f>iferror(VLOOKUP(C1578,'ФИО'!A:B,2,0),"учётный код не найден")</f>
        <v>Скибинский Антон Германович</v>
      </c>
      <c r="T1578" s="13" t="str">
        <f t="shared" si="162"/>
        <v/>
      </c>
      <c r="W1578" s="17" t="str">
        <f t="shared" si="161"/>
        <v>Данные не заполены</v>
      </c>
      <c r="X1578" s="14" t="str">
        <f t="shared" si="154"/>
        <v>Данные не заполены</v>
      </c>
      <c r="Y1578" s="15">
        <f t="shared" si="163"/>
        <v>0</v>
      </c>
    </row>
    <row r="1579" hidden="1">
      <c r="A1579" s="7">
        <v>44134.82069554398</v>
      </c>
      <c r="B1579" s="8" t="s">
        <v>89</v>
      </c>
      <c r="C1579" s="8">
        <v>21954.0</v>
      </c>
      <c r="D1579" s="8" t="s">
        <v>27</v>
      </c>
      <c r="E1579" s="8" t="s">
        <v>85</v>
      </c>
      <c r="G1579" s="8">
        <v>3621.0</v>
      </c>
      <c r="H1579" s="8" t="s">
        <v>29</v>
      </c>
      <c r="I1579" s="8" t="s">
        <v>54</v>
      </c>
      <c r="L1579" s="8" t="s">
        <v>31</v>
      </c>
      <c r="M1579" s="8" t="s">
        <v>34</v>
      </c>
      <c r="P1579" s="9">
        <v>44134.0</v>
      </c>
      <c r="Q1579" s="10">
        <v>0.013888888890505768</v>
      </c>
      <c r="R1579" s="11" t="str">
        <f t="shared" si="1"/>
        <v>Очистка трафаретного принтера</v>
      </c>
      <c r="S1579" s="16" t="str">
        <f>iferror(VLOOKUP(C1579,'ФИО'!A:B,2,0),"учётный код не найден")</f>
        <v>Александров Александр Викторович</v>
      </c>
      <c r="T1579" s="13" t="str">
        <f t="shared" si="162"/>
        <v>915-00121.A - Процессорный модуль РСЕН.469555.027 (КНС Групп)</v>
      </c>
      <c r="U1579" s="8">
        <v>1.0</v>
      </c>
      <c r="V1579" s="8">
        <v>0.0</v>
      </c>
      <c r="W1579" s="17" t="str">
        <f t="shared" si="161"/>
        <v>Данные не заполены</v>
      </c>
      <c r="X1579" s="14" t="str">
        <f t="shared" si="154"/>
        <v>Данные не заполены</v>
      </c>
      <c r="Y1579" s="15">
        <f t="shared" si="163"/>
        <v>0</v>
      </c>
    </row>
    <row r="1580" hidden="1">
      <c r="A1580" s="7">
        <v>44134.821364247684</v>
      </c>
      <c r="B1580" s="8" t="s">
        <v>89</v>
      </c>
      <c r="C1580" s="8">
        <v>21954.0</v>
      </c>
      <c r="D1580" s="8" t="s">
        <v>27</v>
      </c>
      <c r="E1580" s="8" t="s">
        <v>88</v>
      </c>
      <c r="G1580" s="8">
        <v>3621.0</v>
      </c>
      <c r="H1580" s="8" t="s">
        <v>29</v>
      </c>
      <c r="I1580" s="8" t="s">
        <v>54</v>
      </c>
      <c r="L1580" s="8" t="s">
        <v>37</v>
      </c>
      <c r="P1580" s="9">
        <v>44134.0</v>
      </c>
      <c r="Q1580" s="10">
        <v>0.19444444444525288</v>
      </c>
      <c r="R1580" s="11" t="str">
        <f t="shared" si="1"/>
        <v>Сборка на линии Sec</v>
      </c>
      <c r="S1580" s="16" t="str">
        <f>iferror(VLOOKUP(C1580,'ФИО'!A:B,2,0),"учётный код не найден")</f>
        <v>Александров Александр Викторович</v>
      </c>
      <c r="T1580" s="13" t="str">
        <f t="shared" si="162"/>
        <v>915-00121.A - Процессорный модуль РСЕН.469555.027 (КНС Групп)</v>
      </c>
      <c r="U1580" s="8">
        <v>0.0</v>
      </c>
      <c r="V1580" s="8">
        <v>0.0</v>
      </c>
      <c r="W1580" s="17" t="str">
        <f t="shared" si="161"/>
        <v>Данные не заполены</v>
      </c>
      <c r="X1580" s="14" t="str">
        <f t="shared" si="154"/>
        <v>Данные не заполены</v>
      </c>
      <c r="Y1580" s="15">
        <f t="shared" si="163"/>
        <v>0</v>
      </c>
    </row>
    <row r="1581" hidden="1">
      <c r="A1581" s="7">
        <v>44134.82197203704</v>
      </c>
      <c r="B1581" s="8" t="s">
        <v>89</v>
      </c>
      <c r="C1581" s="8">
        <v>21954.0</v>
      </c>
      <c r="D1581" s="8" t="s">
        <v>69</v>
      </c>
      <c r="F1581" s="8" t="s">
        <v>304</v>
      </c>
      <c r="G1581" s="8">
        <v>3793.0</v>
      </c>
      <c r="H1581" s="8" t="s">
        <v>29</v>
      </c>
      <c r="I1581" s="8" t="s">
        <v>163</v>
      </c>
      <c r="L1581" s="8" t="s">
        <v>31</v>
      </c>
      <c r="M1581" s="8" t="s">
        <v>34</v>
      </c>
      <c r="P1581" s="9">
        <v>44134.0</v>
      </c>
      <c r="Q1581" s="10">
        <v>0.25</v>
      </c>
      <c r="R1581" s="11" t="str">
        <f t="shared" si="1"/>
        <v>Формовка компонетов</v>
      </c>
      <c r="S1581" s="16" t="str">
        <f>iferror(VLOOKUP(C1581,'ФИО'!A:B,2,0),"учётный код не найден")</f>
        <v>Александров Александр Викторович</v>
      </c>
      <c r="T1581" s="13" t="str">
        <f t="shared" si="162"/>
        <v>915-00068.A - uklsip(s)220_v3.01 (Гефест)</v>
      </c>
      <c r="U1581" s="8">
        <v>0.0</v>
      </c>
      <c r="V1581" s="8">
        <v>0.0</v>
      </c>
      <c r="W1581" s="17" t="str">
        <f t="shared" si="161"/>
        <v>Данные не заполены</v>
      </c>
      <c r="X1581" s="14" t="str">
        <f t="shared" si="154"/>
        <v>Данные не заполены</v>
      </c>
      <c r="Y1581" s="15">
        <f t="shared" si="163"/>
        <v>0</v>
      </c>
    </row>
    <row r="1582" hidden="1">
      <c r="A1582" s="7">
        <v>44134.82643027778</v>
      </c>
      <c r="B1582" s="8" t="s">
        <v>89</v>
      </c>
      <c r="C1582" s="8">
        <v>21504.0</v>
      </c>
      <c r="D1582" s="8" t="s">
        <v>27</v>
      </c>
      <c r="E1582" s="8" t="s">
        <v>88</v>
      </c>
      <c r="G1582" s="8">
        <v>3261.0</v>
      </c>
      <c r="H1582" s="8" t="s">
        <v>29</v>
      </c>
      <c r="I1582" s="8" t="s">
        <v>54</v>
      </c>
      <c r="L1582" s="8" t="s">
        <v>37</v>
      </c>
      <c r="P1582" s="9">
        <v>44134.0</v>
      </c>
      <c r="Q1582" s="10">
        <v>0.16666666666424135</v>
      </c>
      <c r="R1582" s="11" t="str">
        <f t="shared" si="1"/>
        <v>Сборка на линии Sec</v>
      </c>
      <c r="S1582" s="16" t="str">
        <f>iferror(VLOOKUP(C1582,'ФИО'!A:B,2,0),"учётный код не найден")</f>
        <v>Александрова Елена Сергеевна</v>
      </c>
      <c r="T1582" s="13" t="str">
        <f t="shared" si="162"/>
        <v>915-00121.A - Процессорный модуль РСЕН.469555.027 (КНС Групп)</v>
      </c>
      <c r="U1582" s="8">
        <v>0.0</v>
      </c>
      <c r="V1582" s="8">
        <v>0.0</v>
      </c>
      <c r="W1582" s="17" t="str">
        <f t="shared" si="161"/>
        <v>Данные не заполены</v>
      </c>
      <c r="X1582" s="14" t="str">
        <f t="shared" si="154"/>
        <v>Данные не заполены</v>
      </c>
      <c r="Y1582" s="15">
        <f t="shared" si="163"/>
        <v>0</v>
      </c>
    </row>
    <row r="1583" hidden="1">
      <c r="A1583" s="7">
        <v>44134.82833105324</v>
      </c>
      <c r="B1583" s="8" t="s">
        <v>89</v>
      </c>
      <c r="C1583" s="8">
        <v>21504.0</v>
      </c>
      <c r="D1583" s="8" t="s">
        <v>69</v>
      </c>
      <c r="F1583" s="8" t="s">
        <v>304</v>
      </c>
      <c r="G1583" s="8">
        <v>3793.0</v>
      </c>
      <c r="H1583" s="8" t="s">
        <v>29</v>
      </c>
      <c r="I1583" s="8" t="s">
        <v>163</v>
      </c>
      <c r="L1583" s="8" t="s">
        <v>31</v>
      </c>
      <c r="M1583" s="8" t="s">
        <v>34</v>
      </c>
      <c r="P1583" s="9">
        <v>44134.0</v>
      </c>
      <c r="Q1583" s="10">
        <v>0.27083333333575865</v>
      </c>
      <c r="R1583" s="11" t="str">
        <f t="shared" si="1"/>
        <v>Формовка компонетов</v>
      </c>
      <c r="S1583" s="16" t="str">
        <f>iferror(VLOOKUP(C1583,'ФИО'!A:B,2,0),"учётный код не найден")</f>
        <v>Александрова Елена Сергеевна</v>
      </c>
      <c r="T1583" s="13" t="str">
        <f t="shared" si="162"/>
        <v>915-00068.A - uklsip(s)220_v3.01 (Гефест)</v>
      </c>
      <c r="U1583" s="8">
        <v>0.0</v>
      </c>
      <c r="V1583" s="8">
        <v>0.0</v>
      </c>
      <c r="W1583" s="17" t="str">
        <f t="shared" si="161"/>
        <v>Данные не заполены</v>
      </c>
      <c r="X1583" s="14" t="str">
        <f t="shared" si="154"/>
        <v>Данные не заполены</v>
      </c>
      <c r="Y1583" s="15">
        <f t="shared" si="163"/>
        <v>0</v>
      </c>
    </row>
    <row r="1584" hidden="1">
      <c r="A1584" s="7">
        <v>44134.829165057876</v>
      </c>
      <c r="B1584" s="8" t="s">
        <v>89</v>
      </c>
      <c r="C1584" s="8">
        <v>21504.0</v>
      </c>
      <c r="D1584" s="8" t="s">
        <v>27</v>
      </c>
      <c r="E1584" s="8" t="s">
        <v>57</v>
      </c>
      <c r="G1584" s="8">
        <v>3802.0</v>
      </c>
      <c r="H1584" s="8" t="s">
        <v>45</v>
      </c>
      <c r="K1584" s="8" t="s">
        <v>120</v>
      </c>
      <c r="L1584" s="8" t="s">
        <v>31</v>
      </c>
      <c r="M1584" s="8" t="s">
        <v>34</v>
      </c>
      <c r="P1584" s="9">
        <v>44134.0</v>
      </c>
      <c r="Q1584" s="10">
        <v>0.020833333335758653</v>
      </c>
      <c r="R1584" s="11" t="str">
        <f t="shared" si="1"/>
        <v>Настройка линии Primary</v>
      </c>
      <c r="S1584" s="16" t="str">
        <f>iferror(VLOOKUP(C1584,'ФИО'!A:B,2,0),"учётный код не найден")</f>
        <v>Александрова Елена Сергеевна</v>
      </c>
      <c r="T1584" s="13" t="str">
        <f t="shared" si="162"/>
        <v>М15ECO (900-00030.С) 910-00034.C/910-00041.C</v>
      </c>
      <c r="U1584" s="8">
        <v>0.0</v>
      </c>
      <c r="V1584" s="8">
        <v>0.0</v>
      </c>
      <c r="W1584" s="17" t="str">
        <f t="shared" si="161"/>
        <v>Данные не заполены</v>
      </c>
      <c r="X1584" s="14" t="str">
        <f t="shared" si="154"/>
        <v>Данные не заполены</v>
      </c>
      <c r="Y1584" s="15">
        <f t="shared" si="163"/>
        <v>0</v>
      </c>
    </row>
    <row r="1585" hidden="1">
      <c r="A1585" s="7">
        <v>44134.824331932876</v>
      </c>
      <c r="B1585" s="8" t="s">
        <v>89</v>
      </c>
      <c r="C1585" s="8">
        <v>20693.0</v>
      </c>
      <c r="D1585" s="8" t="s">
        <v>27</v>
      </c>
      <c r="E1585" s="8" t="s">
        <v>88</v>
      </c>
      <c r="G1585" s="8">
        <v>3621.0</v>
      </c>
      <c r="H1585" s="8" t="s">
        <v>29</v>
      </c>
      <c r="I1585" s="8" t="s">
        <v>30</v>
      </c>
      <c r="L1585" s="8" t="s">
        <v>37</v>
      </c>
      <c r="P1585" s="9">
        <v>44134.0</v>
      </c>
      <c r="Q1585" s="10">
        <v>0.125</v>
      </c>
      <c r="R1585" s="11" t="str">
        <f t="shared" si="1"/>
        <v>Сборка на линии Sec</v>
      </c>
      <c r="S1585" s="16" t="str">
        <f>iferror(VLOOKUP(C1585,'ФИО'!A:B,2,0),"учётный код не найден")</f>
        <v>Аникина Раиса Владимировна</v>
      </c>
      <c r="T1585" s="13" t="str">
        <f t="shared" si="162"/>
        <v>915-00121.A - Процессорный модуль РСЕН.469555.027 (КНС Групп) в ТС</v>
      </c>
      <c r="U1585" s="8">
        <v>0.0</v>
      </c>
      <c r="V1585" s="8">
        <v>0.0</v>
      </c>
      <c r="W1585" s="17" t="str">
        <f t="shared" si="161"/>
        <v>Данные не заполены</v>
      </c>
      <c r="X1585" s="14" t="str">
        <f t="shared" si="154"/>
        <v>Данные не заполены</v>
      </c>
      <c r="Y1585" s="15">
        <f t="shared" si="163"/>
        <v>0</v>
      </c>
    </row>
    <row r="1586" hidden="1">
      <c r="A1586" s="7">
        <v>44134.82534675926</v>
      </c>
      <c r="B1586" s="8" t="s">
        <v>89</v>
      </c>
      <c r="C1586" s="8">
        <v>20693.0</v>
      </c>
      <c r="D1586" s="8" t="s">
        <v>27</v>
      </c>
      <c r="E1586" s="8" t="s">
        <v>160</v>
      </c>
      <c r="G1586" s="8">
        <v>3584.0</v>
      </c>
      <c r="H1586" s="8" t="s">
        <v>29</v>
      </c>
      <c r="I1586" s="8" t="s">
        <v>320</v>
      </c>
      <c r="L1586" s="8" t="s">
        <v>31</v>
      </c>
      <c r="M1586" s="8" t="s">
        <v>34</v>
      </c>
      <c r="P1586" s="9">
        <v>44134.0</v>
      </c>
      <c r="Q1586" s="10">
        <v>0.04166666666424135</v>
      </c>
      <c r="R1586" s="11" t="str">
        <f t="shared" si="1"/>
        <v>Проверка программы установщиков</v>
      </c>
      <c r="S1586" s="16" t="str">
        <f>iferror(VLOOKUP(C1586,'ФИО'!A:B,2,0),"учётный код не найден")</f>
        <v>Аникина Раиса Владимировна</v>
      </c>
      <c r="T1586" s="13" t="str">
        <f t="shared" si="162"/>
        <v>DPC612-LB (Depo)</v>
      </c>
      <c r="U1586" s="8">
        <v>1.0</v>
      </c>
      <c r="V1586" s="8">
        <v>0.0</v>
      </c>
      <c r="W1586" s="17" t="str">
        <f t="shared" si="161"/>
        <v>Данные не заполены</v>
      </c>
      <c r="X1586" s="14" t="str">
        <f t="shared" si="154"/>
        <v>Данные не заполены</v>
      </c>
      <c r="Y1586" s="15">
        <f t="shared" si="163"/>
        <v>0</v>
      </c>
    </row>
    <row r="1587" hidden="1">
      <c r="A1587" s="7">
        <v>44134.826193229164</v>
      </c>
      <c r="B1587" s="8" t="s">
        <v>89</v>
      </c>
      <c r="C1587" s="8">
        <v>20693.0</v>
      </c>
      <c r="D1587" s="8" t="s">
        <v>27</v>
      </c>
      <c r="E1587" s="8" t="s">
        <v>48</v>
      </c>
      <c r="L1587" s="8" t="s">
        <v>31</v>
      </c>
      <c r="M1587" s="8" t="s">
        <v>321</v>
      </c>
      <c r="P1587" s="9">
        <v>44134.0</v>
      </c>
      <c r="Q1587" s="10">
        <v>0.16666666666666666</v>
      </c>
      <c r="R1587" s="11" t="str">
        <f t="shared" si="1"/>
        <v>Выполнение организационных работ</v>
      </c>
      <c r="S1587" s="16" t="str">
        <f>iferror(VLOOKUP(C1587,'ФИО'!A:B,2,0),"учётный код не найден")</f>
        <v>Аникина Раиса Владимировна</v>
      </c>
      <c r="T1587" s="13" t="str">
        <f t="shared" si="162"/>
        <v/>
      </c>
      <c r="W1587" s="17" t="str">
        <f t="shared" si="161"/>
        <v>Данные не заполены</v>
      </c>
      <c r="X1587" s="14" t="str">
        <f t="shared" si="154"/>
        <v>Данные не заполены</v>
      </c>
      <c r="Y1587" s="15">
        <f t="shared" si="163"/>
        <v>0</v>
      </c>
    </row>
    <row r="1588" hidden="1">
      <c r="A1588" s="7">
        <v>44134.82745990741</v>
      </c>
      <c r="B1588" s="8" t="s">
        <v>89</v>
      </c>
      <c r="C1588" s="8">
        <v>20693.0</v>
      </c>
      <c r="D1588" s="8" t="s">
        <v>27</v>
      </c>
      <c r="E1588" s="8" t="s">
        <v>48</v>
      </c>
      <c r="L1588" s="8" t="s">
        <v>31</v>
      </c>
      <c r="M1588" s="8" t="s">
        <v>34</v>
      </c>
      <c r="P1588" s="9">
        <v>44134.0</v>
      </c>
      <c r="Q1588" s="10">
        <v>0.125</v>
      </c>
      <c r="R1588" s="11" t="str">
        <f t="shared" si="1"/>
        <v>Выполнение организационных работ</v>
      </c>
      <c r="S1588" s="16" t="str">
        <f>iferror(VLOOKUP(C1588,'ФИО'!A:B,2,0),"учётный код не найден")</f>
        <v>Аникина Раиса Владимировна</v>
      </c>
      <c r="T1588" s="13" t="str">
        <f t="shared" si="162"/>
        <v/>
      </c>
      <c r="W1588" s="17" t="str">
        <f t="shared" si="161"/>
        <v>Данные не заполены</v>
      </c>
      <c r="X1588" s="14" t="str">
        <f t="shared" si="154"/>
        <v>Данные не заполены</v>
      </c>
      <c r="Y1588" s="15">
        <f t="shared" si="163"/>
        <v>0</v>
      </c>
    </row>
    <row r="1589" hidden="1">
      <c r="A1589" s="7">
        <v>44135.31794690972</v>
      </c>
      <c r="B1589" s="8" t="s">
        <v>94</v>
      </c>
      <c r="C1589" s="8">
        <v>21752.0</v>
      </c>
      <c r="D1589" s="8" t="s">
        <v>27</v>
      </c>
      <c r="E1589" s="8" t="s">
        <v>67</v>
      </c>
      <c r="G1589" s="8">
        <v>3802.0</v>
      </c>
      <c r="H1589" s="8" t="s">
        <v>45</v>
      </c>
      <c r="K1589" s="8" t="s">
        <v>120</v>
      </c>
      <c r="L1589" s="8" t="s">
        <v>31</v>
      </c>
      <c r="M1589" s="8" t="s">
        <v>34</v>
      </c>
      <c r="P1589" s="9">
        <v>44134.0</v>
      </c>
      <c r="Q1589" s="10">
        <v>0.29166666666424135</v>
      </c>
      <c r="R1589" s="11" t="str">
        <f t="shared" si="1"/>
        <v>Сборка на линии Prim</v>
      </c>
      <c r="S1589" s="16" t="str">
        <f>iferror(VLOOKUP(C1589,'ФИО'!A:B,2,0),"учётный код не найден")</f>
        <v>Егоров Александр Александрович</v>
      </c>
      <c r="T1589" s="13" t="str">
        <f t="shared" si="162"/>
        <v>М15ECO (900-00030.С) 910-00034.C/910-00041.C</v>
      </c>
      <c r="U1589" s="8">
        <v>0.0</v>
      </c>
      <c r="V1589" s="8">
        <v>0.0</v>
      </c>
      <c r="W1589" s="17" t="str">
        <f t="shared" si="161"/>
        <v>Данные не заполены</v>
      </c>
      <c r="X1589" s="14" t="str">
        <f t="shared" si="154"/>
        <v>Данные не заполены</v>
      </c>
      <c r="Y1589" s="15">
        <f t="shared" si="163"/>
        <v>0</v>
      </c>
    </row>
    <row r="1590" hidden="1">
      <c r="A1590" s="7">
        <v>44135.31944641204</v>
      </c>
      <c r="B1590" s="8" t="s">
        <v>94</v>
      </c>
      <c r="C1590" s="8">
        <v>21752.0</v>
      </c>
      <c r="D1590" s="8" t="s">
        <v>27</v>
      </c>
      <c r="E1590" s="8" t="s">
        <v>82</v>
      </c>
      <c r="G1590" s="8">
        <v>3802.0</v>
      </c>
      <c r="H1590" s="8" t="s">
        <v>45</v>
      </c>
      <c r="K1590" s="8" t="s">
        <v>120</v>
      </c>
      <c r="L1590" s="8" t="s">
        <v>31</v>
      </c>
      <c r="M1590" s="8" t="s">
        <v>34</v>
      </c>
      <c r="P1590" s="9">
        <v>44134.0</v>
      </c>
      <c r="Q1590" s="10">
        <v>0.08333333333575865</v>
      </c>
      <c r="R1590" s="11" t="str">
        <f t="shared" si="1"/>
        <v>Настройка установщиков</v>
      </c>
      <c r="S1590" s="16" t="str">
        <f>iferror(VLOOKUP(C1590,'ФИО'!A:B,2,0),"учётный код не найден")</f>
        <v>Егоров Александр Александрович</v>
      </c>
      <c r="T1590" s="13" t="str">
        <f t="shared" si="162"/>
        <v>М15ECO (900-00030.С) 910-00034.C/910-00041.C</v>
      </c>
      <c r="U1590" s="8">
        <v>0.0</v>
      </c>
      <c r="V1590" s="8">
        <v>0.0</v>
      </c>
      <c r="W1590" s="17" t="str">
        <f t="shared" si="161"/>
        <v>Данные не заполены</v>
      </c>
      <c r="X1590" s="14" t="str">
        <f t="shared" si="154"/>
        <v>Данные не заполены</v>
      </c>
      <c r="Y1590" s="15">
        <f t="shared" si="163"/>
        <v>0</v>
      </c>
    </row>
    <row r="1591" hidden="1">
      <c r="A1591" s="7">
        <v>44135.32035869213</v>
      </c>
      <c r="B1591" s="8" t="s">
        <v>94</v>
      </c>
      <c r="C1591" s="8">
        <v>21752.0</v>
      </c>
      <c r="D1591" s="8" t="s">
        <v>27</v>
      </c>
      <c r="E1591" s="8" t="s">
        <v>88</v>
      </c>
      <c r="G1591" s="8">
        <v>3802.0</v>
      </c>
      <c r="H1591" s="8" t="s">
        <v>45</v>
      </c>
      <c r="K1591" s="8" t="s">
        <v>120</v>
      </c>
      <c r="L1591" s="8" t="s">
        <v>37</v>
      </c>
      <c r="P1591" s="9">
        <v>44134.0</v>
      </c>
      <c r="Q1591" s="10">
        <v>0.08333333333575865</v>
      </c>
      <c r="R1591" s="11" t="str">
        <f t="shared" si="1"/>
        <v>Сборка на линии Sec</v>
      </c>
      <c r="S1591" s="16" t="str">
        <f>iferror(VLOOKUP(C1591,'ФИО'!A:B,2,0),"учётный код не найден")</f>
        <v>Егоров Александр Александрович</v>
      </c>
      <c r="T1591" s="13" t="str">
        <f t="shared" si="162"/>
        <v>М15ECO (900-00030.С) 910-00034.C/910-00041.C</v>
      </c>
      <c r="U1591" s="8">
        <v>0.0</v>
      </c>
      <c r="V1591" s="8">
        <v>0.0</v>
      </c>
      <c r="W1591" s="17" t="str">
        <f t="shared" si="161"/>
        <v>Данные не заполены</v>
      </c>
      <c r="X1591" s="14" t="str">
        <f t="shared" si="154"/>
        <v>Данные не заполены</v>
      </c>
      <c r="Y1591" s="15">
        <f t="shared" si="163"/>
        <v>0</v>
      </c>
    </row>
    <row r="1592" hidden="1">
      <c r="A1592" s="7">
        <v>44134.750783958334</v>
      </c>
      <c r="B1592" s="8" t="s">
        <v>89</v>
      </c>
      <c r="C1592" s="8">
        <v>22721.0</v>
      </c>
      <c r="D1592" s="8" t="s">
        <v>27</v>
      </c>
      <c r="E1592" s="8" t="s">
        <v>68</v>
      </c>
      <c r="L1592" s="8" t="s">
        <v>31</v>
      </c>
      <c r="M1592" s="8" t="s">
        <v>34</v>
      </c>
      <c r="P1592" s="9">
        <v>44134.0</v>
      </c>
      <c r="Q1592" s="10">
        <v>0.33333333333575865</v>
      </c>
      <c r="R1592" s="11" t="str">
        <f t="shared" si="1"/>
        <v>Прохождение обучения</v>
      </c>
      <c r="S1592" s="16" t="str">
        <f>iferror(VLOOKUP(C1592,'ФИО'!A:B,2,0),"учётный код не найден")</f>
        <v>Заславский Антон Игоревич</v>
      </c>
      <c r="T1592" s="13" t="str">
        <f t="shared" si="162"/>
        <v/>
      </c>
      <c r="W1592" s="17" t="str">
        <f t="shared" si="161"/>
        <v>Данные не заполены</v>
      </c>
      <c r="X1592" s="14" t="str">
        <f t="shared" si="154"/>
        <v>Данные не заполены</v>
      </c>
      <c r="Y1592" s="15">
        <f t="shared" si="163"/>
        <v>0</v>
      </c>
    </row>
    <row r="1593" hidden="1">
      <c r="A1593" s="7">
        <v>44135.31570346065</v>
      </c>
      <c r="B1593" s="8" t="s">
        <v>94</v>
      </c>
      <c r="C1593" s="8">
        <v>22575.0</v>
      </c>
      <c r="D1593" s="8" t="s">
        <v>27</v>
      </c>
      <c r="E1593" s="8" t="s">
        <v>101</v>
      </c>
      <c r="G1593" s="8">
        <v>3802.0</v>
      </c>
      <c r="H1593" s="8" t="s">
        <v>45</v>
      </c>
      <c r="K1593" s="8" t="s">
        <v>120</v>
      </c>
      <c r="L1593" s="8" t="s">
        <v>31</v>
      </c>
      <c r="M1593" s="8" t="s">
        <v>34</v>
      </c>
      <c r="P1593" s="9">
        <v>44134.0</v>
      </c>
      <c r="Q1593" s="10">
        <v>0.020833333335758653</v>
      </c>
      <c r="R1593" s="11" t="str">
        <f t="shared" si="1"/>
        <v>Настройка принтера Prim</v>
      </c>
      <c r="S1593" s="16" t="str">
        <f>iferror(VLOOKUP(C1593,'ФИО'!A:B,2,0),"учётный код не найден")</f>
        <v>Куликов Виктор Алексеевич</v>
      </c>
      <c r="T1593" s="13" t="str">
        <f t="shared" si="162"/>
        <v>М15ECO (900-00030.С) 910-00034.C/910-00041.C</v>
      </c>
      <c r="U1593" s="8">
        <v>1.0</v>
      </c>
      <c r="V1593" s="8">
        <v>0.0</v>
      </c>
      <c r="W1593" s="17" t="str">
        <f t="shared" si="161"/>
        <v>Данные не заполены</v>
      </c>
      <c r="X1593" s="14" t="str">
        <f t="shared" si="154"/>
        <v>Данные не заполены</v>
      </c>
      <c r="Y1593" s="15">
        <f t="shared" si="163"/>
        <v>0</v>
      </c>
    </row>
    <row r="1594" hidden="1">
      <c r="A1594" s="7">
        <v>44135.316516527775</v>
      </c>
      <c r="B1594" s="8" t="s">
        <v>94</v>
      </c>
      <c r="C1594" s="8">
        <v>22575.0</v>
      </c>
      <c r="D1594" s="8" t="s">
        <v>27</v>
      </c>
      <c r="E1594" s="8" t="s">
        <v>84</v>
      </c>
      <c r="G1594" s="8">
        <v>3802.0</v>
      </c>
      <c r="H1594" s="8" t="s">
        <v>45</v>
      </c>
      <c r="K1594" s="8" t="s">
        <v>120</v>
      </c>
      <c r="L1594" s="8" t="s">
        <v>31</v>
      </c>
      <c r="M1594" s="8" t="s">
        <v>34</v>
      </c>
      <c r="P1594" s="9">
        <v>44134.0</v>
      </c>
      <c r="Q1594" s="10">
        <v>0.020833333335758653</v>
      </c>
      <c r="R1594" s="11" t="str">
        <f t="shared" si="1"/>
        <v>Настройка принтера Sec</v>
      </c>
      <c r="S1594" s="16" t="str">
        <f>iferror(VLOOKUP(C1594,'ФИО'!A:B,2,0),"учётный код не найден")</f>
        <v>Куликов Виктор Алексеевич</v>
      </c>
      <c r="T1594" s="13" t="str">
        <f t="shared" si="162"/>
        <v>М15ECO (900-00030.С) 910-00034.C/910-00041.C</v>
      </c>
      <c r="U1594" s="8">
        <v>1.0</v>
      </c>
      <c r="V1594" s="8">
        <v>0.0</v>
      </c>
      <c r="W1594" s="17" t="str">
        <f t="shared" si="161"/>
        <v>Данные не заполены</v>
      </c>
      <c r="X1594" s="14" t="str">
        <f t="shared" si="154"/>
        <v>Данные не заполены</v>
      </c>
      <c r="Y1594" s="15">
        <f t="shared" si="163"/>
        <v>0</v>
      </c>
    </row>
    <row r="1595" hidden="1">
      <c r="A1595" s="7">
        <v>44135.31794171296</v>
      </c>
      <c r="B1595" s="8" t="s">
        <v>94</v>
      </c>
      <c r="C1595" s="8">
        <v>22575.0</v>
      </c>
      <c r="D1595" s="8" t="s">
        <v>27</v>
      </c>
      <c r="E1595" s="8" t="s">
        <v>67</v>
      </c>
      <c r="G1595" s="8">
        <v>3802.0</v>
      </c>
      <c r="H1595" s="8" t="s">
        <v>45</v>
      </c>
      <c r="K1595" s="8" t="s">
        <v>120</v>
      </c>
      <c r="L1595" s="8" t="s">
        <v>37</v>
      </c>
      <c r="P1595" s="9">
        <v>44134.0</v>
      </c>
      <c r="Q1595" s="10">
        <v>0.3125</v>
      </c>
      <c r="R1595" s="11" t="str">
        <f t="shared" si="1"/>
        <v>Сборка на линии Prim</v>
      </c>
      <c r="S1595" s="16" t="str">
        <f>iferror(VLOOKUP(C1595,'ФИО'!A:B,2,0),"учётный код не найден")</f>
        <v>Куликов Виктор Алексеевич</v>
      </c>
      <c r="T1595" s="13" t="str">
        <f t="shared" si="162"/>
        <v>М15ECO (900-00030.С) 910-00034.C/910-00041.C</v>
      </c>
      <c r="U1595" s="8">
        <v>0.0</v>
      </c>
      <c r="V1595" s="8">
        <v>0.0</v>
      </c>
      <c r="W1595" s="17" t="str">
        <f t="shared" si="161"/>
        <v>Данные не заполены</v>
      </c>
      <c r="X1595" s="14" t="str">
        <f t="shared" si="154"/>
        <v>Данные не заполены</v>
      </c>
      <c r="Y1595" s="15">
        <f t="shared" si="163"/>
        <v>0</v>
      </c>
    </row>
    <row r="1596" hidden="1">
      <c r="A1596" s="7">
        <v>44135.319112060184</v>
      </c>
      <c r="B1596" s="8" t="s">
        <v>94</v>
      </c>
      <c r="C1596" s="8">
        <v>22575.0</v>
      </c>
      <c r="D1596" s="8" t="s">
        <v>27</v>
      </c>
      <c r="E1596" s="8" t="s">
        <v>88</v>
      </c>
      <c r="G1596" s="8">
        <v>3802.0</v>
      </c>
      <c r="H1596" s="8" t="s">
        <v>45</v>
      </c>
      <c r="K1596" s="8" t="s">
        <v>120</v>
      </c>
      <c r="L1596" s="8" t="s">
        <v>37</v>
      </c>
      <c r="P1596" s="9">
        <v>44134.0</v>
      </c>
      <c r="Q1596" s="10">
        <v>0.10416666666424135</v>
      </c>
      <c r="R1596" s="11" t="str">
        <f t="shared" si="1"/>
        <v>Сборка на линии Sec</v>
      </c>
      <c r="S1596" s="16" t="str">
        <f>iferror(VLOOKUP(C1596,'ФИО'!A:B,2,0),"учётный код не найден")</f>
        <v>Куликов Виктор Алексеевич</v>
      </c>
      <c r="T1596" s="13" t="str">
        <f t="shared" si="162"/>
        <v>М15ECO (900-00030.С) 910-00034.C/910-00041.C</v>
      </c>
      <c r="U1596" s="8">
        <v>0.0</v>
      </c>
      <c r="V1596" s="8">
        <v>0.0</v>
      </c>
      <c r="W1596" s="17" t="str">
        <f t="shared" si="161"/>
        <v>Данные не заполены</v>
      </c>
      <c r="X1596" s="14" t="str">
        <f t="shared" si="154"/>
        <v>Данные не заполены</v>
      </c>
      <c r="Y1596" s="15">
        <f t="shared" si="163"/>
        <v>0</v>
      </c>
    </row>
    <row r="1597" hidden="1">
      <c r="A1597" s="7">
        <v>44135.29701991898</v>
      </c>
      <c r="B1597" s="8" t="s">
        <v>94</v>
      </c>
      <c r="C1597" s="8">
        <v>20985.0</v>
      </c>
      <c r="D1597" s="8" t="s">
        <v>27</v>
      </c>
      <c r="E1597" s="8" t="s">
        <v>82</v>
      </c>
      <c r="G1597" s="8">
        <v>3802.0</v>
      </c>
      <c r="H1597" s="8" t="s">
        <v>45</v>
      </c>
      <c r="K1597" s="8" t="s">
        <v>120</v>
      </c>
      <c r="L1597" s="8" t="s">
        <v>31</v>
      </c>
      <c r="M1597" s="8" t="s">
        <v>34</v>
      </c>
      <c r="P1597" s="9">
        <v>44134.0</v>
      </c>
      <c r="Q1597" s="10">
        <v>0.04166666666424135</v>
      </c>
      <c r="R1597" s="11" t="str">
        <f t="shared" si="1"/>
        <v>Настройка установщиков</v>
      </c>
      <c r="S1597" s="16" t="str">
        <f>iferror(VLOOKUP(C1597,'ФИО'!A:B,2,0),"учётный код не найден")</f>
        <v>Никонорова Наталия Владимировна</v>
      </c>
      <c r="T1597" s="13" t="str">
        <f t="shared" si="162"/>
        <v>М15ECO (900-00030.С) 910-00034.C/910-00041.C</v>
      </c>
      <c r="U1597" s="8">
        <v>0.0</v>
      </c>
      <c r="V1597" s="8">
        <v>0.0</v>
      </c>
      <c r="W1597" s="17" t="str">
        <f t="shared" si="161"/>
        <v>Данные не заполены</v>
      </c>
      <c r="X1597" s="14" t="str">
        <f t="shared" si="154"/>
        <v>Данные не заполены</v>
      </c>
      <c r="Y1597" s="15">
        <f t="shared" si="163"/>
        <v>0</v>
      </c>
    </row>
    <row r="1598" hidden="1">
      <c r="A1598" s="7">
        <v>44135.29802883102</v>
      </c>
      <c r="B1598" s="8" t="s">
        <v>94</v>
      </c>
      <c r="C1598" s="8">
        <v>20985.0</v>
      </c>
      <c r="D1598" s="8" t="s">
        <v>27</v>
      </c>
      <c r="E1598" s="8" t="s">
        <v>57</v>
      </c>
      <c r="G1598" s="8">
        <v>3802.0</v>
      </c>
      <c r="H1598" s="8" t="s">
        <v>45</v>
      </c>
      <c r="K1598" s="8" t="s">
        <v>120</v>
      </c>
      <c r="L1598" s="8" t="s">
        <v>31</v>
      </c>
      <c r="M1598" s="8" t="s">
        <v>34</v>
      </c>
      <c r="P1598" s="9">
        <v>44134.0</v>
      </c>
      <c r="Q1598" s="10">
        <v>0.006944444445252884</v>
      </c>
      <c r="R1598" s="11" t="str">
        <f t="shared" si="1"/>
        <v>Настройка линии Primary</v>
      </c>
      <c r="S1598" s="16" t="str">
        <f>iferror(VLOOKUP(C1598,'ФИО'!A:B,2,0),"учётный код не найден")</f>
        <v>Никонорова Наталия Владимировна</v>
      </c>
      <c r="T1598" s="13" t="str">
        <f t="shared" si="162"/>
        <v>М15ECO (900-00030.С) 910-00034.C/910-00041.C</v>
      </c>
      <c r="U1598" s="8">
        <v>0.0</v>
      </c>
      <c r="V1598" s="8">
        <v>0.0</v>
      </c>
      <c r="W1598" s="17" t="str">
        <f t="shared" si="161"/>
        <v>Данные не заполены</v>
      </c>
      <c r="X1598" s="14" t="str">
        <f t="shared" si="154"/>
        <v>Данные не заполены</v>
      </c>
      <c r="Y1598" s="15">
        <f t="shared" si="163"/>
        <v>0</v>
      </c>
    </row>
    <row r="1599" hidden="1">
      <c r="A1599" s="7">
        <v>44135.29895099537</v>
      </c>
      <c r="B1599" s="8" t="s">
        <v>94</v>
      </c>
      <c r="C1599" s="8">
        <v>20985.0</v>
      </c>
      <c r="D1599" s="8" t="s">
        <v>27</v>
      </c>
      <c r="E1599" s="8" t="s">
        <v>67</v>
      </c>
      <c r="G1599" s="8">
        <v>3802.0</v>
      </c>
      <c r="H1599" s="8" t="s">
        <v>45</v>
      </c>
      <c r="K1599" s="8" t="s">
        <v>120</v>
      </c>
      <c r="L1599" s="8" t="s">
        <v>31</v>
      </c>
      <c r="M1599" s="8" t="s">
        <v>318</v>
      </c>
      <c r="P1599" s="9">
        <v>44134.0</v>
      </c>
      <c r="Q1599" s="10">
        <v>0.29166666666424135</v>
      </c>
      <c r="R1599" s="11" t="str">
        <f t="shared" si="1"/>
        <v>Сборка на линии Prim</v>
      </c>
      <c r="S1599" s="16" t="str">
        <f>iferror(VLOOKUP(C1599,'ФИО'!A:B,2,0),"учётный код не найден")</f>
        <v>Никонорова Наталия Владимировна</v>
      </c>
      <c r="T1599" s="13" t="str">
        <f t="shared" si="162"/>
        <v>М15ECO (900-00030.С) 910-00034.C/910-00041.C</v>
      </c>
      <c r="U1599" s="8">
        <v>0.0</v>
      </c>
      <c r="V1599" s="8">
        <v>0.0</v>
      </c>
      <c r="W1599" s="17" t="str">
        <f t="shared" si="161"/>
        <v>Данные не заполены</v>
      </c>
      <c r="X1599" s="14" t="str">
        <f t="shared" si="154"/>
        <v>Данные не заполены</v>
      </c>
      <c r="Y1599" s="15">
        <f t="shared" si="163"/>
        <v>0</v>
      </c>
    </row>
    <row r="1600" hidden="1">
      <c r="A1600" s="7">
        <v>44135.30001010417</v>
      </c>
      <c r="B1600" s="8" t="s">
        <v>94</v>
      </c>
      <c r="C1600" s="8">
        <v>20985.0</v>
      </c>
      <c r="D1600" s="8" t="s">
        <v>27</v>
      </c>
      <c r="E1600" s="8" t="s">
        <v>66</v>
      </c>
      <c r="G1600" s="8">
        <v>3802.0</v>
      </c>
      <c r="H1600" s="8" t="s">
        <v>45</v>
      </c>
      <c r="K1600" s="8" t="s">
        <v>120</v>
      </c>
      <c r="L1600" s="8" t="s">
        <v>31</v>
      </c>
      <c r="M1600" s="8" t="s">
        <v>34</v>
      </c>
      <c r="P1600" s="9">
        <v>44134.0</v>
      </c>
      <c r="Q1600" s="10">
        <v>0.013888888890505768</v>
      </c>
      <c r="R1600" s="11" t="str">
        <f t="shared" si="1"/>
        <v>Проверка первой платы до оплавления</v>
      </c>
      <c r="S1600" s="16" t="str">
        <f>iferror(VLOOKUP(C1600,'ФИО'!A:B,2,0),"учётный код не найден")</f>
        <v>Никонорова Наталия Владимировна</v>
      </c>
      <c r="T1600" s="13" t="str">
        <f t="shared" si="162"/>
        <v>М15ECO (900-00030.С) 910-00034.C/910-00041.C</v>
      </c>
      <c r="U1600" s="8">
        <v>0.0</v>
      </c>
      <c r="V1600" s="8">
        <v>0.0</v>
      </c>
      <c r="W1600" s="17" t="str">
        <f t="shared" si="161"/>
        <v>Данные не заполены</v>
      </c>
      <c r="X1600" s="14" t="str">
        <f t="shared" si="154"/>
        <v>Данные не заполены</v>
      </c>
      <c r="Y1600" s="15">
        <f t="shared" si="163"/>
        <v>0</v>
      </c>
    </row>
    <row r="1601" hidden="1">
      <c r="A1601" s="7">
        <v>44135.30057530093</v>
      </c>
      <c r="B1601" s="8" t="s">
        <v>94</v>
      </c>
      <c r="C1601" s="8">
        <v>20985.0</v>
      </c>
      <c r="D1601" s="8" t="s">
        <v>27</v>
      </c>
      <c r="E1601" s="8" t="s">
        <v>39</v>
      </c>
      <c r="G1601" s="8">
        <v>3802.0</v>
      </c>
      <c r="H1601" s="8" t="s">
        <v>45</v>
      </c>
      <c r="K1601" s="8" t="s">
        <v>120</v>
      </c>
      <c r="L1601" s="8" t="s">
        <v>31</v>
      </c>
      <c r="M1601" s="8" t="s">
        <v>34</v>
      </c>
      <c r="P1601" s="9">
        <v>44134.0</v>
      </c>
      <c r="Q1601" s="10">
        <v>0.010416666664241347</v>
      </c>
      <c r="R1601" s="11" t="str">
        <f t="shared" si="1"/>
        <v>Зарядка питателей Prim</v>
      </c>
      <c r="S1601" s="16" t="str">
        <f>iferror(VLOOKUP(C1601,'ФИО'!A:B,2,0),"учётный код не найден")</f>
        <v>Никонорова Наталия Владимировна</v>
      </c>
      <c r="T1601" s="13" t="str">
        <f t="shared" si="162"/>
        <v>М15ECO (900-00030.С) 910-00034.C/910-00041.C</v>
      </c>
      <c r="U1601" s="8">
        <v>17.0</v>
      </c>
      <c r="V1601" s="8">
        <v>0.0</v>
      </c>
      <c r="W1601" s="17">
        <v>660.0</v>
      </c>
      <c r="X1601" s="14">
        <f t="shared" si="154"/>
        <v>1.133333334</v>
      </c>
      <c r="Y1601" s="15">
        <f t="shared" si="163"/>
        <v>0</v>
      </c>
    </row>
    <row r="1602" hidden="1">
      <c r="A1602" s="7">
        <v>44135.30159135417</v>
      </c>
      <c r="B1602" s="8" t="s">
        <v>94</v>
      </c>
      <c r="C1602" s="8">
        <v>20985.0</v>
      </c>
      <c r="D1602" s="8" t="s">
        <v>27</v>
      </c>
      <c r="E1602" s="8" t="s">
        <v>82</v>
      </c>
      <c r="G1602" s="8">
        <v>3802.0</v>
      </c>
      <c r="H1602" s="8" t="s">
        <v>45</v>
      </c>
      <c r="K1602" s="8" t="s">
        <v>120</v>
      </c>
      <c r="L1602" s="8" t="s">
        <v>31</v>
      </c>
      <c r="M1602" s="8" t="s">
        <v>34</v>
      </c>
      <c r="P1602" s="9">
        <v>44134.0</v>
      </c>
      <c r="Q1602" s="10">
        <v>0.020833333335758653</v>
      </c>
      <c r="R1602" s="11" t="str">
        <f t="shared" si="1"/>
        <v>Настройка установщиков</v>
      </c>
      <c r="S1602" s="16" t="str">
        <f>iferror(VLOOKUP(C1602,'ФИО'!A:B,2,0),"учётный код не найден")</f>
        <v>Никонорова Наталия Владимировна</v>
      </c>
      <c r="T1602" s="13" t="str">
        <f t="shared" si="162"/>
        <v>М15ECO (900-00030.С) 910-00034.C/910-00041.C</v>
      </c>
      <c r="U1602" s="8">
        <v>0.0</v>
      </c>
      <c r="V1602" s="8">
        <v>0.0</v>
      </c>
      <c r="W1602" s="17" t="str">
        <f t="shared" ref="W1602:W1640" si="164">IFERROR((((38412/(ifs(O1602&lt;35,35,O1602&gt;34,O1602)/N1602)*0.7))),"Данные не заполены")</f>
        <v>Данные не заполены</v>
      </c>
      <c r="X1602" s="14" t="str">
        <f t="shared" si="154"/>
        <v>Данные не заполены</v>
      </c>
      <c r="Y1602" s="15">
        <f t="shared" si="163"/>
        <v>0</v>
      </c>
    </row>
    <row r="1603" hidden="1">
      <c r="A1603" s="7">
        <v>44135.31156690972</v>
      </c>
      <c r="B1603" s="8" t="s">
        <v>94</v>
      </c>
      <c r="C1603" s="8">
        <v>20985.0</v>
      </c>
      <c r="D1603" s="8" t="s">
        <v>27</v>
      </c>
      <c r="E1603" s="8" t="s">
        <v>121</v>
      </c>
      <c r="G1603" s="8">
        <v>3802.0</v>
      </c>
      <c r="H1603" s="8" t="s">
        <v>45</v>
      </c>
      <c r="K1603" s="8" t="s">
        <v>120</v>
      </c>
      <c r="L1603" s="8" t="s">
        <v>31</v>
      </c>
      <c r="M1603" s="8" t="s">
        <v>34</v>
      </c>
      <c r="P1603" s="9">
        <v>44134.0</v>
      </c>
      <c r="Q1603" s="10">
        <v>0.006944444445252884</v>
      </c>
      <c r="R1603" s="11" t="str">
        <f t="shared" si="1"/>
        <v>Настройка линии Secondary</v>
      </c>
      <c r="S1603" s="16" t="str">
        <f>iferror(VLOOKUP(C1603,'ФИО'!A:B,2,0),"учётный код не найден")</f>
        <v>Никонорова Наталия Владимировна</v>
      </c>
      <c r="T1603" s="13" t="str">
        <f t="shared" si="162"/>
        <v>М15ECO (900-00030.С) 910-00034.C/910-00041.C</v>
      </c>
      <c r="U1603" s="8">
        <v>0.0</v>
      </c>
      <c r="V1603" s="8">
        <v>0.0</v>
      </c>
      <c r="W1603" s="17" t="str">
        <f t="shared" si="164"/>
        <v>Данные не заполены</v>
      </c>
      <c r="X1603" s="14" t="str">
        <f t="shared" si="154"/>
        <v>Данные не заполены</v>
      </c>
      <c r="Y1603" s="15">
        <f t="shared" si="163"/>
        <v>0</v>
      </c>
    </row>
    <row r="1604" hidden="1">
      <c r="A1604" s="7">
        <v>44135.312560844905</v>
      </c>
      <c r="B1604" s="8" t="s">
        <v>94</v>
      </c>
      <c r="C1604" s="8">
        <v>20985.0</v>
      </c>
      <c r="D1604" s="8" t="s">
        <v>27</v>
      </c>
      <c r="E1604" s="8" t="s">
        <v>88</v>
      </c>
      <c r="G1604" s="8">
        <v>3802.0</v>
      </c>
      <c r="H1604" s="8" t="s">
        <v>45</v>
      </c>
      <c r="K1604" s="8" t="s">
        <v>120</v>
      </c>
      <c r="L1604" s="8" t="s">
        <v>31</v>
      </c>
      <c r="M1604" s="8" t="s">
        <v>318</v>
      </c>
      <c r="P1604" s="9">
        <v>44134.0</v>
      </c>
      <c r="Q1604" s="10">
        <v>0.05208333333575865</v>
      </c>
      <c r="R1604" s="11" t="str">
        <f t="shared" si="1"/>
        <v>Сборка на линии Sec</v>
      </c>
      <c r="S1604" s="16" t="str">
        <f>iferror(VLOOKUP(C1604,'ФИО'!A:B,2,0),"учётный код не найден")</f>
        <v>Никонорова Наталия Владимировна</v>
      </c>
      <c r="T1604" s="13" t="str">
        <f t="shared" si="162"/>
        <v>М15ECO (900-00030.С) 910-00034.C/910-00041.C</v>
      </c>
      <c r="U1604" s="8">
        <v>0.0</v>
      </c>
      <c r="V1604" s="8">
        <v>0.0</v>
      </c>
      <c r="W1604" s="17" t="str">
        <f t="shared" si="164"/>
        <v>Данные не заполены</v>
      </c>
      <c r="X1604" s="14" t="str">
        <f t="shared" si="154"/>
        <v>Данные не заполены</v>
      </c>
      <c r="Y1604" s="15">
        <f t="shared" si="163"/>
        <v>0</v>
      </c>
    </row>
    <row r="1605" hidden="1">
      <c r="A1605" s="7">
        <v>44135.31369271991</v>
      </c>
      <c r="B1605" s="8" t="s">
        <v>94</v>
      </c>
      <c r="C1605" s="8">
        <v>20985.0</v>
      </c>
      <c r="D1605" s="8" t="s">
        <v>27</v>
      </c>
      <c r="E1605" s="8" t="s">
        <v>66</v>
      </c>
      <c r="G1605" s="8">
        <v>3802.0</v>
      </c>
      <c r="H1605" s="8" t="s">
        <v>45</v>
      </c>
      <c r="K1605" s="8" t="s">
        <v>120</v>
      </c>
      <c r="L1605" s="8" t="s">
        <v>31</v>
      </c>
      <c r="M1605" s="8" t="s">
        <v>34</v>
      </c>
      <c r="P1605" s="9">
        <v>44134.0</v>
      </c>
      <c r="Q1605" s="10">
        <v>0.013888888890505768</v>
      </c>
      <c r="R1605" s="11" t="str">
        <f t="shared" si="1"/>
        <v>Проверка первой платы до оплавления</v>
      </c>
      <c r="S1605" s="16" t="str">
        <f>iferror(VLOOKUP(C1605,'ФИО'!A:B,2,0),"учётный код не найден")</f>
        <v>Никонорова Наталия Владимировна</v>
      </c>
      <c r="T1605" s="13" t="str">
        <f t="shared" si="162"/>
        <v>М15ECO (900-00030.С) 910-00034.C/910-00041.C</v>
      </c>
      <c r="U1605" s="8">
        <v>0.0</v>
      </c>
      <c r="V1605" s="8">
        <v>0.0</v>
      </c>
      <c r="W1605" s="17" t="str">
        <f t="shared" si="164"/>
        <v>Данные не заполены</v>
      </c>
      <c r="X1605" s="14" t="str">
        <f t="shared" si="154"/>
        <v>Данные не заполены</v>
      </c>
      <c r="Y1605" s="15">
        <f t="shared" si="163"/>
        <v>0</v>
      </c>
    </row>
    <row r="1606" hidden="1">
      <c r="A1606" s="7">
        <v>44134.82995025463</v>
      </c>
      <c r="B1606" s="8" t="s">
        <v>89</v>
      </c>
      <c r="C1606" s="8">
        <v>21852.0</v>
      </c>
      <c r="D1606" s="8" t="s">
        <v>27</v>
      </c>
      <c r="E1606" s="8" t="s">
        <v>88</v>
      </c>
      <c r="G1606" s="8">
        <v>3621.0</v>
      </c>
      <c r="H1606" s="8" t="s">
        <v>29</v>
      </c>
      <c r="I1606" s="8" t="s">
        <v>54</v>
      </c>
      <c r="L1606" s="8" t="s">
        <v>37</v>
      </c>
      <c r="P1606" s="9">
        <v>44134.0</v>
      </c>
      <c r="Q1606" s="10">
        <v>0.20833333333575865</v>
      </c>
      <c r="R1606" s="11" t="str">
        <f t="shared" si="1"/>
        <v>Сборка на линии Sec</v>
      </c>
      <c r="S1606" s="16" t="str">
        <f>iferror(VLOOKUP(C1606,'ФИО'!A:B,2,0),"учётный код не найден")</f>
        <v>Пономарев Юрий Андреевич</v>
      </c>
      <c r="T1606" s="13" t="str">
        <f t="shared" si="162"/>
        <v>915-00121.A - Процессорный модуль РСЕН.469555.027 (КНС Групп)</v>
      </c>
      <c r="U1606" s="8">
        <v>0.0</v>
      </c>
      <c r="V1606" s="8">
        <v>0.0</v>
      </c>
      <c r="W1606" s="17" t="str">
        <f t="shared" si="164"/>
        <v>Данные не заполены</v>
      </c>
      <c r="X1606" s="14" t="str">
        <f t="shared" si="154"/>
        <v>Данные не заполены</v>
      </c>
      <c r="Y1606" s="15">
        <f t="shared" si="163"/>
        <v>0</v>
      </c>
    </row>
    <row r="1607" hidden="1">
      <c r="A1607" s="7">
        <v>44134.83026671296</v>
      </c>
      <c r="B1607" s="8" t="s">
        <v>89</v>
      </c>
      <c r="C1607" s="8">
        <v>21852.0</v>
      </c>
      <c r="D1607" s="8" t="s">
        <v>27</v>
      </c>
      <c r="E1607" s="8" t="s">
        <v>154</v>
      </c>
      <c r="L1607" s="8" t="s">
        <v>31</v>
      </c>
      <c r="M1607" s="8" t="s">
        <v>34</v>
      </c>
      <c r="P1607" s="9">
        <v>44134.0</v>
      </c>
      <c r="Q1607" s="10">
        <v>0.08333333333575865</v>
      </c>
      <c r="R1607" s="11" t="str">
        <f t="shared" si="1"/>
        <v>Выполнение технологических задач</v>
      </c>
      <c r="S1607" s="16" t="str">
        <f>iferror(VLOOKUP(C1607,'ФИО'!A:B,2,0),"учётный код не найден")</f>
        <v>Пономарев Юрий Андреевич</v>
      </c>
      <c r="T1607" s="13" t="str">
        <f t="shared" si="162"/>
        <v/>
      </c>
      <c r="W1607" s="17" t="str">
        <f t="shared" si="164"/>
        <v>Данные не заполены</v>
      </c>
      <c r="X1607" s="14" t="str">
        <f t="shared" si="154"/>
        <v>Данные не заполены</v>
      </c>
      <c r="Y1607" s="15">
        <f t="shared" si="163"/>
        <v>0</v>
      </c>
    </row>
    <row r="1608" hidden="1">
      <c r="A1608" s="7">
        <v>44134.83082644676</v>
      </c>
      <c r="B1608" s="8" t="s">
        <v>89</v>
      </c>
      <c r="C1608" s="8">
        <v>21852.0</v>
      </c>
      <c r="D1608" s="8" t="s">
        <v>69</v>
      </c>
      <c r="F1608" s="8" t="s">
        <v>304</v>
      </c>
      <c r="G1608" s="8">
        <v>3793.0</v>
      </c>
      <c r="H1608" s="8" t="s">
        <v>29</v>
      </c>
      <c r="I1608" s="8" t="s">
        <v>163</v>
      </c>
      <c r="L1608" s="8" t="s">
        <v>31</v>
      </c>
      <c r="M1608" s="8" t="s">
        <v>34</v>
      </c>
      <c r="P1608" s="9">
        <v>44134.0</v>
      </c>
      <c r="Q1608" s="10">
        <v>0.16666666666424135</v>
      </c>
      <c r="R1608" s="11" t="str">
        <f t="shared" si="1"/>
        <v>Формовка компонетов</v>
      </c>
      <c r="S1608" s="16" t="str">
        <f>iferror(VLOOKUP(C1608,'ФИО'!A:B,2,0),"учётный код не найден")</f>
        <v>Пономарев Юрий Андреевич</v>
      </c>
      <c r="T1608" s="13" t="str">
        <f t="shared" si="162"/>
        <v>915-00068.A - uklsip(s)220_v3.01 (Гефест)</v>
      </c>
      <c r="U1608" s="8">
        <v>0.0</v>
      </c>
      <c r="V1608" s="8">
        <v>0.0</v>
      </c>
      <c r="W1608" s="17" t="str">
        <f t="shared" si="164"/>
        <v>Данные не заполены</v>
      </c>
      <c r="X1608" s="14" t="str">
        <f t="shared" si="154"/>
        <v>Данные не заполены</v>
      </c>
      <c r="Y1608" s="15">
        <f t="shared" si="163"/>
        <v>0</v>
      </c>
    </row>
    <row r="1609" hidden="1">
      <c r="A1609" s="7">
        <v>44135.30073408565</v>
      </c>
      <c r="B1609" s="8" t="s">
        <v>94</v>
      </c>
      <c r="C1609" s="8">
        <v>21928.0</v>
      </c>
      <c r="D1609" s="8" t="s">
        <v>27</v>
      </c>
      <c r="E1609" s="8" t="s">
        <v>57</v>
      </c>
      <c r="G1609" s="8">
        <v>3802.0</v>
      </c>
      <c r="H1609" s="8" t="s">
        <v>45</v>
      </c>
      <c r="K1609" s="8" t="s">
        <v>120</v>
      </c>
      <c r="L1609" s="8" t="s">
        <v>31</v>
      </c>
      <c r="M1609" s="8" t="s">
        <v>34</v>
      </c>
      <c r="P1609" s="9">
        <v>44134.0</v>
      </c>
      <c r="Q1609" s="10">
        <v>0.0625</v>
      </c>
      <c r="R1609" s="11" t="str">
        <f t="shared" si="1"/>
        <v>Настройка линии Primary</v>
      </c>
      <c r="S1609" s="16" t="str">
        <f>iferror(VLOOKUP(C1609,'ФИО'!A:B,2,0),"учётный код не найден")</f>
        <v>Савченко Виктория Андреевна</v>
      </c>
      <c r="T1609" s="13" t="str">
        <f t="shared" si="162"/>
        <v>М15ECO (900-00030.С) 910-00034.C/910-00041.C</v>
      </c>
      <c r="U1609" s="8">
        <v>0.0</v>
      </c>
      <c r="V1609" s="8">
        <v>0.0</v>
      </c>
      <c r="W1609" s="17" t="str">
        <f t="shared" si="164"/>
        <v>Данные не заполены</v>
      </c>
      <c r="X1609" s="14" t="str">
        <f t="shared" si="154"/>
        <v>Данные не заполены</v>
      </c>
      <c r="Y1609" s="15">
        <f t="shared" si="163"/>
        <v>0</v>
      </c>
    </row>
    <row r="1610" hidden="1">
      <c r="A1610" s="7">
        <v>44135.301593321754</v>
      </c>
      <c r="B1610" s="8" t="s">
        <v>94</v>
      </c>
      <c r="C1610" s="8">
        <v>21928.0</v>
      </c>
      <c r="D1610" s="8" t="s">
        <v>27</v>
      </c>
      <c r="E1610" s="8" t="s">
        <v>97</v>
      </c>
      <c r="G1610" s="8">
        <v>3802.0</v>
      </c>
      <c r="H1610" s="8" t="s">
        <v>45</v>
      </c>
      <c r="K1610" s="8" t="s">
        <v>120</v>
      </c>
      <c r="L1610" s="8" t="s">
        <v>37</v>
      </c>
      <c r="P1610" s="9">
        <v>44134.0</v>
      </c>
      <c r="Q1610" s="10">
        <v>0.29166666666424135</v>
      </c>
      <c r="R1610" s="11" t="str">
        <f t="shared" si="1"/>
        <v>Проверка плат на АОИ Prim</v>
      </c>
      <c r="S1610" s="16" t="str">
        <f>iferror(VLOOKUP(C1610,'ФИО'!A:B,2,0),"учётный код не найден")</f>
        <v>Савченко Виктория Андреевна</v>
      </c>
      <c r="T1610" s="13" t="str">
        <f t="shared" si="162"/>
        <v>М15ECO (900-00030.С) 910-00034.C/910-00041.C</v>
      </c>
      <c r="U1610" s="8">
        <v>3743.0</v>
      </c>
      <c r="V1610" s="8">
        <v>277.0</v>
      </c>
      <c r="W1610" s="17" t="str">
        <f t="shared" si="164"/>
        <v>Данные не заполены</v>
      </c>
      <c r="X1610" s="14" t="str">
        <f t="shared" si="154"/>
        <v>Данные не заполены</v>
      </c>
      <c r="Y1610" s="15">
        <f t="shared" si="163"/>
        <v>0.07400480898</v>
      </c>
    </row>
    <row r="1611" hidden="1">
      <c r="A1611" s="7">
        <v>44135.30210354167</v>
      </c>
      <c r="B1611" s="8" t="s">
        <v>94</v>
      </c>
      <c r="C1611" s="8">
        <v>21928.0</v>
      </c>
      <c r="D1611" s="8" t="s">
        <v>27</v>
      </c>
      <c r="E1611" s="8" t="s">
        <v>123</v>
      </c>
      <c r="G1611" s="8">
        <v>3802.0</v>
      </c>
      <c r="H1611" s="8" t="s">
        <v>45</v>
      </c>
      <c r="K1611" s="8" t="s">
        <v>120</v>
      </c>
      <c r="L1611" s="8" t="s">
        <v>31</v>
      </c>
      <c r="M1611" s="8" t="s">
        <v>34</v>
      </c>
      <c r="P1611" s="9">
        <v>44134.0</v>
      </c>
      <c r="Q1611" s="10">
        <v>0.04166666666424135</v>
      </c>
      <c r="R1611" s="11" t="str">
        <f t="shared" si="1"/>
        <v>Настойка первой платы на АОИ PRI</v>
      </c>
      <c r="S1611" s="16" t="str">
        <f>iferror(VLOOKUP(C1611,'ФИО'!A:B,2,0),"учётный код не найден")</f>
        <v>Савченко Виктория Андреевна</v>
      </c>
      <c r="T1611" s="13" t="str">
        <f t="shared" si="162"/>
        <v>М15ECO (900-00030.С) 910-00034.C/910-00041.C</v>
      </c>
      <c r="U1611" s="8">
        <v>0.0</v>
      </c>
      <c r="V1611" s="8">
        <v>0.0</v>
      </c>
      <c r="W1611" s="17" t="str">
        <f t="shared" si="164"/>
        <v>Данные не заполены</v>
      </c>
      <c r="X1611" s="14" t="str">
        <f t="shared" si="154"/>
        <v>Данные не заполены</v>
      </c>
      <c r="Y1611" s="15">
        <f t="shared" si="163"/>
        <v>0</v>
      </c>
    </row>
    <row r="1612" hidden="1">
      <c r="A1612" s="7">
        <v>44135.30300068287</v>
      </c>
      <c r="B1612" s="8" t="s">
        <v>94</v>
      </c>
      <c r="C1612" s="8">
        <v>21928.0</v>
      </c>
      <c r="D1612" s="8" t="s">
        <v>27</v>
      </c>
      <c r="E1612" s="8" t="s">
        <v>88</v>
      </c>
      <c r="G1612" s="8">
        <v>3802.0</v>
      </c>
      <c r="H1612" s="8" t="s">
        <v>45</v>
      </c>
      <c r="K1612" s="8" t="s">
        <v>120</v>
      </c>
      <c r="L1612" s="8" t="s">
        <v>37</v>
      </c>
      <c r="P1612" s="9">
        <v>44134.0</v>
      </c>
      <c r="Q1612" s="10">
        <v>0.03472222221898846</v>
      </c>
      <c r="R1612" s="11" t="str">
        <f t="shared" si="1"/>
        <v>Сборка на линии Sec</v>
      </c>
      <c r="S1612" s="16" t="str">
        <f>iferror(VLOOKUP(C1612,'ФИО'!A:B,2,0),"учётный код не найден")</f>
        <v>Савченко Виктория Андреевна</v>
      </c>
      <c r="T1612" s="13" t="str">
        <f t="shared" si="162"/>
        <v>М15ECO (900-00030.С) 910-00034.C/910-00041.C</v>
      </c>
      <c r="U1612" s="8">
        <v>0.0</v>
      </c>
      <c r="V1612" s="8">
        <v>0.0</v>
      </c>
      <c r="W1612" s="17" t="str">
        <f t="shared" si="164"/>
        <v>Данные не заполены</v>
      </c>
      <c r="X1612" s="14" t="str">
        <f t="shared" si="154"/>
        <v>Данные не заполены</v>
      </c>
      <c r="Y1612" s="15">
        <f t="shared" si="163"/>
        <v>0</v>
      </c>
    </row>
    <row r="1613" hidden="1">
      <c r="A1613" s="7">
        <v>44135.30386564815</v>
      </c>
      <c r="B1613" s="8" t="s">
        <v>94</v>
      </c>
      <c r="C1613" s="8">
        <v>21928.0</v>
      </c>
      <c r="D1613" s="8" t="s">
        <v>27</v>
      </c>
      <c r="E1613" s="8" t="s">
        <v>259</v>
      </c>
      <c r="G1613" s="8">
        <v>3802.0</v>
      </c>
      <c r="H1613" s="8" t="s">
        <v>45</v>
      </c>
      <c r="K1613" s="8" t="s">
        <v>120</v>
      </c>
      <c r="L1613" s="8" t="s">
        <v>31</v>
      </c>
      <c r="M1613" s="8" t="s">
        <v>34</v>
      </c>
      <c r="P1613" s="9">
        <v>44134.0</v>
      </c>
      <c r="Q1613" s="10">
        <v>0.027777777781011537</v>
      </c>
      <c r="R1613" s="11" t="str">
        <f t="shared" si="1"/>
        <v>Проверка программы на АОИ SEC</v>
      </c>
      <c r="S1613" s="16" t="str">
        <f>iferror(VLOOKUP(C1613,'ФИО'!A:B,2,0),"учётный код не найден")</f>
        <v>Савченко Виктория Андреевна</v>
      </c>
      <c r="T1613" s="13" t="str">
        <f t="shared" si="162"/>
        <v>М15ECO (900-00030.С) 910-00034.C/910-00041.C</v>
      </c>
      <c r="U1613" s="8">
        <v>0.0</v>
      </c>
      <c r="V1613" s="8">
        <v>0.0</v>
      </c>
      <c r="W1613" s="17" t="str">
        <f t="shared" si="164"/>
        <v>Данные не заполены</v>
      </c>
      <c r="X1613" s="14" t="str">
        <f t="shared" si="154"/>
        <v>Данные не заполены</v>
      </c>
      <c r="Y1613" s="15">
        <f t="shared" si="163"/>
        <v>0</v>
      </c>
    </row>
    <row r="1614" hidden="1">
      <c r="A1614" s="7">
        <v>44134.821573298614</v>
      </c>
      <c r="B1614" s="8" t="s">
        <v>89</v>
      </c>
      <c r="C1614" s="8">
        <v>22011.0</v>
      </c>
      <c r="D1614" s="8" t="s">
        <v>69</v>
      </c>
      <c r="F1614" s="8" t="s">
        <v>304</v>
      </c>
      <c r="G1614" s="8">
        <v>3793.0</v>
      </c>
      <c r="H1614" s="8" t="s">
        <v>29</v>
      </c>
      <c r="I1614" s="8" t="s">
        <v>163</v>
      </c>
      <c r="L1614" s="8" t="s">
        <v>31</v>
      </c>
      <c r="M1614" s="8" t="s">
        <v>117</v>
      </c>
      <c r="P1614" s="9">
        <v>44134.0</v>
      </c>
      <c r="Q1614" s="10">
        <v>0.29166666666424135</v>
      </c>
      <c r="R1614" s="11" t="str">
        <f t="shared" si="1"/>
        <v>Формовка компонетов</v>
      </c>
      <c r="S1614" s="16" t="str">
        <f>iferror(VLOOKUP(C1614,'ФИО'!A:B,2,0),"учётный код не найден")</f>
        <v>Сергеев Алексей Андреевич</v>
      </c>
      <c r="T1614" s="13" t="str">
        <f t="shared" si="162"/>
        <v>915-00068.A - uklsip(s)220_v3.01 (Гефест)</v>
      </c>
      <c r="U1614" s="8">
        <v>0.0</v>
      </c>
      <c r="V1614" s="8">
        <v>0.0</v>
      </c>
      <c r="W1614" s="17" t="str">
        <f t="shared" si="164"/>
        <v>Данные не заполены</v>
      </c>
      <c r="X1614" s="14" t="str">
        <f t="shared" si="154"/>
        <v>Данные не заполены</v>
      </c>
      <c r="Y1614" s="15">
        <f t="shared" si="163"/>
        <v>0</v>
      </c>
    </row>
    <row r="1615" hidden="1">
      <c r="A1615" s="7">
        <v>44134.82316371528</v>
      </c>
      <c r="B1615" s="8" t="s">
        <v>89</v>
      </c>
      <c r="C1615" s="8">
        <v>22011.0</v>
      </c>
      <c r="D1615" s="8" t="s">
        <v>27</v>
      </c>
      <c r="E1615" s="8" t="s">
        <v>88</v>
      </c>
      <c r="G1615" s="8">
        <v>3621.0</v>
      </c>
      <c r="H1615" s="8" t="s">
        <v>29</v>
      </c>
      <c r="I1615" s="8" t="s">
        <v>30</v>
      </c>
      <c r="L1615" s="8" t="s">
        <v>37</v>
      </c>
      <c r="P1615" s="9">
        <v>44134.0</v>
      </c>
      <c r="Q1615" s="10">
        <v>0.125</v>
      </c>
      <c r="R1615" s="11" t="str">
        <f t="shared" si="1"/>
        <v>Сборка на линии Sec</v>
      </c>
      <c r="S1615" s="16" t="str">
        <f>iferror(VLOOKUP(C1615,'ФИО'!A:B,2,0),"учётный код не найден")</f>
        <v>Сергеев Алексей Андреевич</v>
      </c>
      <c r="T1615" s="13" t="str">
        <f t="shared" si="162"/>
        <v>915-00121.A - Процессорный модуль РСЕН.469555.027 (КНС Групп) в ТС</v>
      </c>
      <c r="U1615" s="8">
        <v>0.0</v>
      </c>
      <c r="V1615" s="8">
        <v>0.0</v>
      </c>
      <c r="W1615" s="17" t="str">
        <f t="shared" si="164"/>
        <v>Данные не заполены</v>
      </c>
      <c r="X1615" s="14" t="str">
        <f t="shared" si="154"/>
        <v>Данные не заполены</v>
      </c>
      <c r="Y1615" s="15">
        <f t="shared" si="163"/>
        <v>0</v>
      </c>
    </row>
    <row r="1616" hidden="1">
      <c r="A1616" s="7">
        <v>44134.82368929398</v>
      </c>
      <c r="B1616" s="8" t="s">
        <v>89</v>
      </c>
      <c r="C1616" s="8">
        <v>22011.0</v>
      </c>
      <c r="D1616" s="8" t="s">
        <v>27</v>
      </c>
      <c r="E1616" s="8" t="s">
        <v>28</v>
      </c>
      <c r="G1616" s="8">
        <v>3621.0</v>
      </c>
      <c r="H1616" s="8" t="s">
        <v>29</v>
      </c>
      <c r="I1616" s="8" t="s">
        <v>30</v>
      </c>
      <c r="L1616" s="8" t="s">
        <v>31</v>
      </c>
      <c r="M1616" s="8" t="s">
        <v>34</v>
      </c>
      <c r="P1616" s="9">
        <v>44134.0</v>
      </c>
      <c r="Q1616" s="10">
        <v>0.04166666666424135</v>
      </c>
      <c r="R1616" s="11" t="str">
        <f t="shared" si="1"/>
        <v>Выполнение дополнительных работ на линии</v>
      </c>
      <c r="S1616" s="16" t="str">
        <f>iferror(VLOOKUP(C1616,'ФИО'!A:B,2,0),"учётный код не найден")</f>
        <v>Сергеев Алексей Андреевич</v>
      </c>
      <c r="T1616" s="13" t="str">
        <f t="shared" si="162"/>
        <v>915-00121.A - Процессорный модуль РСЕН.469555.027 (КНС Групп) в ТС</v>
      </c>
      <c r="U1616" s="8">
        <v>0.0</v>
      </c>
      <c r="V1616" s="8">
        <v>0.0</v>
      </c>
      <c r="W1616" s="17" t="str">
        <f t="shared" si="164"/>
        <v>Данные не заполены</v>
      </c>
      <c r="X1616" s="14" t="str">
        <f t="shared" si="154"/>
        <v>Данные не заполены</v>
      </c>
      <c r="Y1616" s="15">
        <f t="shared" si="163"/>
        <v>0</v>
      </c>
    </row>
    <row r="1617" hidden="1">
      <c r="A1617" s="7">
        <v>44135.32695243055</v>
      </c>
      <c r="B1617" s="8" t="s">
        <v>94</v>
      </c>
      <c r="C1617" s="8">
        <v>21426.0</v>
      </c>
      <c r="D1617" s="8" t="s">
        <v>27</v>
      </c>
      <c r="E1617" s="8" t="s">
        <v>82</v>
      </c>
      <c r="G1617" s="8">
        <v>3802.0</v>
      </c>
      <c r="H1617" s="8" t="s">
        <v>45</v>
      </c>
      <c r="K1617" s="8" t="s">
        <v>120</v>
      </c>
      <c r="L1617" s="8" t="s">
        <v>31</v>
      </c>
      <c r="M1617" s="8" t="s">
        <v>34</v>
      </c>
      <c r="P1617" s="9">
        <v>44134.0</v>
      </c>
      <c r="Q1617" s="10">
        <v>0.04166666666424135</v>
      </c>
      <c r="R1617" s="11" t="str">
        <f t="shared" si="1"/>
        <v>Настройка установщиков</v>
      </c>
      <c r="S1617" s="16" t="str">
        <f>iferror(VLOOKUP(C1617,'ФИО'!A:B,2,0),"учётный код не найден")</f>
        <v>Скибинский Антон Германович</v>
      </c>
      <c r="T1617" s="13" t="str">
        <f t="shared" si="162"/>
        <v>М15ECO (900-00030.С) 910-00034.C/910-00041.C</v>
      </c>
      <c r="U1617" s="8">
        <v>0.0</v>
      </c>
      <c r="V1617" s="8">
        <v>0.0</v>
      </c>
      <c r="W1617" s="17" t="str">
        <f t="shared" si="164"/>
        <v>Данные не заполены</v>
      </c>
      <c r="X1617" s="14" t="str">
        <f t="shared" si="154"/>
        <v>Данные не заполены</v>
      </c>
      <c r="Y1617" s="15">
        <f t="shared" si="163"/>
        <v>0</v>
      </c>
    </row>
    <row r="1618" hidden="1">
      <c r="A1618" s="7">
        <v>44135.32745643519</v>
      </c>
      <c r="B1618" s="8" t="s">
        <v>94</v>
      </c>
      <c r="C1618" s="8">
        <v>21426.0</v>
      </c>
      <c r="D1618" s="8" t="s">
        <v>27</v>
      </c>
      <c r="E1618" s="8" t="s">
        <v>67</v>
      </c>
      <c r="G1618" s="8">
        <v>3802.0</v>
      </c>
      <c r="H1618" s="8" t="s">
        <v>45</v>
      </c>
      <c r="K1618" s="8" t="s">
        <v>120</v>
      </c>
      <c r="L1618" s="8" t="s">
        <v>37</v>
      </c>
      <c r="P1618" s="9">
        <v>44134.0</v>
      </c>
      <c r="Q1618" s="10">
        <v>0.20833333333575865</v>
      </c>
      <c r="R1618" s="11" t="str">
        <f t="shared" si="1"/>
        <v>Сборка на линии Prim</v>
      </c>
      <c r="S1618" s="16" t="str">
        <f>iferror(VLOOKUP(C1618,'ФИО'!A:B,2,0),"учётный код не найден")</f>
        <v>Скибинский Антон Германович</v>
      </c>
      <c r="T1618" s="13" t="str">
        <f t="shared" si="162"/>
        <v>М15ECO (900-00030.С) 910-00034.C/910-00041.C</v>
      </c>
      <c r="U1618" s="8">
        <v>0.0</v>
      </c>
      <c r="V1618" s="8">
        <v>0.0</v>
      </c>
      <c r="W1618" s="17" t="str">
        <f t="shared" si="164"/>
        <v>Данные не заполены</v>
      </c>
      <c r="X1618" s="14" t="str">
        <f t="shared" si="154"/>
        <v>Данные не заполены</v>
      </c>
      <c r="Y1618" s="15">
        <f t="shared" si="163"/>
        <v>0</v>
      </c>
    </row>
    <row r="1619" hidden="1">
      <c r="A1619" s="7">
        <v>44135.32849288195</v>
      </c>
      <c r="B1619" s="8" t="s">
        <v>94</v>
      </c>
      <c r="C1619" s="8">
        <v>21426.0</v>
      </c>
      <c r="D1619" s="8" t="s">
        <v>27</v>
      </c>
      <c r="E1619" s="8" t="s">
        <v>97</v>
      </c>
      <c r="G1619" s="8">
        <v>3802.0</v>
      </c>
      <c r="H1619" s="8" t="s">
        <v>45</v>
      </c>
      <c r="K1619" s="8" t="s">
        <v>120</v>
      </c>
      <c r="L1619" s="8" t="s">
        <v>37</v>
      </c>
      <c r="P1619" s="9">
        <v>44134.0</v>
      </c>
      <c r="Q1619" s="10">
        <v>0.027777777781011537</v>
      </c>
      <c r="R1619" s="11" t="str">
        <f t="shared" si="1"/>
        <v>Проверка плат на АОИ Prim</v>
      </c>
      <c r="S1619" s="16" t="str">
        <f>iferror(VLOOKUP(C1619,'ФИО'!A:B,2,0),"учётный код не найден")</f>
        <v>Скибинский Антон Германович</v>
      </c>
      <c r="T1619" s="13" t="str">
        <f t="shared" si="162"/>
        <v>М15ECO (900-00030.С) 910-00034.C/910-00041.C</v>
      </c>
      <c r="U1619" s="8">
        <v>0.0</v>
      </c>
      <c r="V1619" s="8">
        <v>0.0</v>
      </c>
      <c r="W1619" s="17" t="str">
        <f t="shared" si="164"/>
        <v>Данные не заполены</v>
      </c>
      <c r="X1619" s="14" t="str">
        <f t="shared" si="154"/>
        <v>Данные не заполены</v>
      </c>
      <c r="Y1619" s="15">
        <f t="shared" si="163"/>
        <v>0</v>
      </c>
    </row>
    <row r="1620" hidden="1">
      <c r="A1620" s="7">
        <v>44135.3289968287</v>
      </c>
      <c r="B1620" s="8" t="s">
        <v>94</v>
      </c>
      <c r="C1620" s="8">
        <v>21426.0</v>
      </c>
      <c r="D1620" s="8" t="s">
        <v>27</v>
      </c>
      <c r="E1620" s="8" t="s">
        <v>84</v>
      </c>
      <c r="G1620" s="8">
        <v>3802.0</v>
      </c>
      <c r="H1620" s="8" t="s">
        <v>45</v>
      </c>
      <c r="K1620" s="8" t="s">
        <v>120</v>
      </c>
      <c r="L1620" s="8" t="s">
        <v>31</v>
      </c>
      <c r="M1620" s="8" t="s">
        <v>34</v>
      </c>
      <c r="P1620" s="9">
        <v>44134.0</v>
      </c>
      <c r="Q1620" s="10">
        <v>0.013888888890505768</v>
      </c>
      <c r="R1620" s="11" t="str">
        <f t="shared" si="1"/>
        <v>Настройка принтера Sec</v>
      </c>
      <c r="S1620" s="16" t="str">
        <f>iferror(VLOOKUP(C1620,'ФИО'!A:B,2,0),"учётный код не найден")</f>
        <v>Скибинский Антон Германович</v>
      </c>
      <c r="T1620" s="13" t="str">
        <f t="shared" si="162"/>
        <v>М15ECO (900-00030.С) 910-00034.C/910-00041.C</v>
      </c>
      <c r="U1620" s="8">
        <v>0.0</v>
      </c>
      <c r="V1620" s="8">
        <v>0.0</v>
      </c>
      <c r="W1620" s="17" t="str">
        <f t="shared" si="164"/>
        <v>Данные не заполены</v>
      </c>
      <c r="X1620" s="14" t="str">
        <f t="shared" si="154"/>
        <v>Данные не заполены</v>
      </c>
      <c r="Y1620" s="15">
        <f t="shared" si="163"/>
        <v>0</v>
      </c>
    </row>
    <row r="1621" hidden="1">
      <c r="A1621" s="7">
        <v>44135.329476087965</v>
      </c>
      <c r="B1621" s="8" t="s">
        <v>94</v>
      </c>
      <c r="C1621" s="8">
        <v>21426.0</v>
      </c>
      <c r="D1621" s="8" t="s">
        <v>27</v>
      </c>
      <c r="E1621" s="8" t="s">
        <v>121</v>
      </c>
      <c r="G1621" s="8">
        <v>3802.0</v>
      </c>
      <c r="H1621" s="8" t="s">
        <v>45</v>
      </c>
      <c r="K1621" s="8" t="s">
        <v>120</v>
      </c>
      <c r="L1621" s="8" t="s">
        <v>31</v>
      </c>
      <c r="M1621" s="8" t="s">
        <v>34</v>
      </c>
      <c r="P1621" s="9">
        <v>44134.0</v>
      </c>
      <c r="Q1621" s="10">
        <v>0.013888888890505768</v>
      </c>
      <c r="R1621" s="11" t="str">
        <f t="shared" si="1"/>
        <v>Настройка линии Secondary</v>
      </c>
      <c r="S1621" s="16" t="str">
        <f>iferror(VLOOKUP(C1621,'ФИО'!A:B,2,0),"учётный код не найден")</f>
        <v>Скибинский Антон Германович</v>
      </c>
      <c r="T1621" s="13" t="str">
        <f t="shared" si="162"/>
        <v>М15ECO (900-00030.С) 910-00034.C/910-00041.C</v>
      </c>
      <c r="U1621" s="8">
        <v>0.0</v>
      </c>
      <c r="V1621" s="8">
        <v>0.0</v>
      </c>
      <c r="W1621" s="17" t="str">
        <f t="shared" si="164"/>
        <v>Данные не заполены</v>
      </c>
      <c r="X1621" s="14" t="str">
        <f t="shared" si="154"/>
        <v>Данные не заполены</v>
      </c>
      <c r="Y1621" s="15">
        <f t="shared" si="163"/>
        <v>0</v>
      </c>
    </row>
    <row r="1622" hidden="1">
      <c r="A1622" s="7">
        <v>44135.3301365625</v>
      </c>
      <c r="B1622" s="8" t="s">
        <v>94</v>
      </c>
      <c r="C1622" s="8">
        <v>21426.0</v>
      </c>
      <c r="D1622" s="8" t="s">
        <v>27</v>
      </c>
      <c r="E1622" s="8" t="s">
        <v>88</v>
      </c>
      <c r="G1622" s="8">
        <v>3802.0</v>
      </c>
      <c r="H1622" s="8" t="s">
        <v>45</v>
      </c>
      <c r="K1622" s="8" t="s">
        <v>120</v>
      </c>
      <c r="L1622" s="8" t="s">
        <v>37</v>
      </c>
      <c r="P1622" s="9">
        <v>44134.0</v>
      </c>
      <c r="Q1622" s="10">
        <v>0.04166666666424135</v>
      </c>
      <c r="R1622" s="11" t="str">
        <f t="shared" si="1"/>
        <v>Сборка на линии Sec</v>
      </c>
      <c r="S1622" s="16" t="str">
        <f>iferror(VLOOKUP(C1622,'ФИО'!A:B,2,0),"учётный код не найден")</f>
        <v>Скибинский Антон Германович</v>
      </c>
      <c r="T1622" s="13" t="str">
        <f t="shared" si="162"/>
        <v>М15ECO (900-00030.С) 910-00034.C/910-00041.C</v>
      </c>
      <c r="U1622" s="8">
        <v>20.0</v>
      </c>
      <c r="V1622" s="8">
        <v>0.0</v>
      </c>
      <c r="W1622" s="17" t="str">
        <f t="shared" si="164"/>
        <v>Данные не заполены</v>
      </c>
      <c r="X1622" s="14" t="str">
        <f t="shared" si="154"/>
        <v>Данные не заполены</v>
      </c>
      <c r="Y1622" s="15">
        <f t="shared" si="163"/>
        <v>0</v>
      </c>
    </row>
    <row r="1623" hidden="1">
      <c r="A1623" s="7">
        <v>44135.33047246528</v>
      </c>
      <c r="B1623" s="8" t="s">
        <v>94</v>
      </c>
      <c r="C1623" s="8">
        <v>21426.0</v>
      </c>
      <c r="D1623" s="8" t="s">
        <v>27</v>
      </c>
      <c r="E1623" s="8" t="s">
        <v>48</v>
      </c>
      <c r="L1623" s="8" t="s">
        <v>31</v>
      </c>
      <c r="M1623" s="8" t="s">
        <v>34</v>
      </c>
      <c r="P1623" s="9">
        <v>44134.0</v>
      </c>
      <c r="Q1623" s="10">
        <v>0.11111111110949423</v>
      </c>
      <c r="R1623" s="11" t="str">
        <f t="shared" si="1"/>
        <v>Выполнение организационных работ</v>
      </c>
      <c r="S1623" s="16" t="str">
        <f>iferror(VLOOKUP(C1623,'ФИО'!A:B,2,0),"учётный код не найден")</f>
        <v>Скибинский Антон Германович</v>
      </c>
      <c r="T1623" s="13" t="str">
        <f t="shared" si="162"/>
        <v/>
      </c>
      <c r="W1623" s="17" t="str">
        <f t="shared" si="164"/>
        <v>Данные не заполены</v>
      </c>
      <c r="X1623" s="14" t="str">
        <f t="shared" si="154"/>
        <v>Данные не заполены</v>
      </c>
      <c r="Y1623" s="15">
        <f t="shared" si="163"/>
        <v>0</v>
      </c>
    </row>
    <row r="1624" hidden="1">
      <c r="A1624" s="31">
        <v>44134.82384016203</v>
      </c>
      <c r="B1624" s="25" t="s">
        <v>89</v>
      </c>
      <c r="C1624" s="25">
        <v>50000.0</v>
      </c>
      <c r="D1624" s="25" t="s">
        <v>27</v>
      </c>
      <c r="E1624" s="25" t="s">
        <v>88</v>
      </c>
      <c r="F1624" s="32"/>
      <c r="G1624" s="25">
        <v>3621.0</v>
      </c>
      <c r="H1624" s="25" t="s">
        <v>29</v>
      </c>
      <c r="I1624" s="25" t="s">
        <v>30</v>
      </c>
      <c r="J1624" s="32"/>
      <c r="K1624" s="32"/>
      <c r="L1624" s="25" t="s">
        <v>37</v>
      </c>
      <c r="M1624" s="32"/>
      <c r="N1624" s="25">
        <v>1.0</v>
      </c>
      <c r="O1624" s="25">
        <v>211.0</v>
      </c>
      <c r="P1624" s="33">
        <v>44134.0</v>
      </c>
      <c r="Q1624" s="34">
        <v>0.09722222221898846</v>
      </c>
      <c r="R1624" s="23" t="str">
        <f t="shared" si="1"/>
        <v>Сборка на линии Sec</v>
      </c>
      <c r="S1624" s="16" t="str">
        <f>iferror(VLOOKUP(C1624,'ФИО'!A:B,2,0),"учётный код не найден")</f>
        <v>SMT</v>
      </c>
      <c r="T1624" s="35" t="str">
        <f t="shared" si="162"/>
        <v>915-00121.A - Процессорный модуль РСЕН.469555.027 (КНС Групп) в ТС</v>
      </c>
      <c r="U1624" s="25">
        <v>2.0</v>
      </c>
      <c r="V1624" s="25">
        <v>0.0</v>
      </c>
      <c r="W1624" s="17">
        <f t="shared" si="164"/>
        <v>127.4331754</v>
      </c>
      <c r="X1624" s="14">
        <f t="shared" si="154"/>
        <v>0.07398835823</v>
      </c>
      <c r="Y1624" s="14">
        <f t="shared" si="163"/>
        <v>0</v>
      </c>
      <c r="Z1624" s="25" t="s">
        <v>322</v>
      </c>
    </row>
    <row r="1625" hidden="1">
      <c r="A1625" s="7">
        <v>44135.321490104165</v>
      </c>
      <c r="B1625" s="8" t="s">
        <v>94</v>
      </c>
      <c r="C1625" s="8">
        <v>50000.0</v>
      </c>
      <c r="D1625" s="8" t="s">
        <v>27</v>
      </c>
      <c r="E1625" s="8" t="s">
        <v>67</v>
      </c>
      <c r="G1625" s="8">
        <v>3802.0</v>
      </c>
      <c r="H1625" s="8" t="s">
        <v>45</v>
      </c>
      <c r="K1625" s="8" t="s">
        <v>120</v>
      </c>
      <c r="L1625" s="8" t="s">
        <v>37</v>
      </c>
      <c r="N1625" s="8">
        <v>10.0</v>
      </c>
      <c r="O1625" s="8">
        <v>41.0</v>
      </c>
      <c r="P1625" s="9">
        <v>44134.0</v>
      </c>
      <c r="Q1625" s="10">
        <v>0.21180555555474712</v>
      </c>
      <c r="R1625" s="11" t="str">
        <f t="shared" si="1"/>
        <v>Сборка на линии Prim</v>
      </c>
      <c r="S1625" s="16" t="str">
        <f>iferror(VLOOKUP(C1625,'ФИО'!A:B,2,0),"учётный код не найден")</f>
        <v>SMT</v>
      </c>
      <c r="T1625" s="13" t="str">
        <f t="shared" si="162"/>
        <v>М15ECO (900-00030.С) 910-00034.C/910-00041.C</v>
      </c>
      <c r="U1625" s="8">
        <v>1980.0</v>
      </c>
      <c r="V1625" s="8">
        <v>0.0</v>
      </c>
      <c r="W1625" s="17">
        <f t="shared" si="164"/>
        <v>6558.146341</v>
      </c>
      <c r="X1625" s="14">
        <f t="shared" si="154"/>
        <v>0.653323354</v>
      </c>
      <c r="Y1625" s="15">
        <f t="shared" si="163"/>
        <v>0</v>
      </c>
    </row>
    <row r="1626" hidden="1">
      <c r="A1626" s="7">
        <v>44127.564649884254</v>
      </c>
      <c r="B1626" s="8" t="s">
        <v>89</v>
      </c>
      <c r="C1626" s="8">
        <v>20015.0</v>
      </c>
      <c r="D1626" s="8" t="s">
        <v>27</v>
      </c>
      <c r="E1626" s="8" t="s">
        <v>88</v>
      </c>
      <c r="G1626" s="8">
        <v>3804.0</v>
      </c>
      <c r="H1626" s="8" t="s">
        <v>45</v>
      </c>
      <c r="K1626" s="8" t="s">
        <v>52</v>
      </c>
      <c r="L1626" s="8" t="s">
        <v>37</v>
      </c>
      <c r="P1626" s="9">
        <v>44127.0</v>
      </c>
      <c r="Q1626" s="10">
        <v>0.04166666666424135</v>
      </c>
      <c r="R1626" s="11" t="str">
        <f t="shared" si="1"/>
        <v>Сборка на линии Sec</v>
      </c>
      <c r="S1626" s="16" t="str">
        <f>iferror(VLOOKUP(C1626,'ФИО'!A:B,2,0),"учётный код не найден")</f>
        <v>Ельцов Андрей Николаевич</v>
      </c>
      <c r="T1626" s="13" t="str">
        <f t="shared" si="162"/>
        <v>М17V2 (900-00018.D)_910-00023.H и ПУ 910-00012.I</v>
      </c>
      <c r="U1626" s="8">
        <v>0.0</v>
      </c>
      <c r="V1626" s="8">
        <v>0.0</v>
      </c>
      <c r="W1626" s="17" t="str">
        <f t="shared" si="164"/>
        <v>Данные не заполены</v>
      </c>
      <c r="X1626" s="14" t="str">
        <f t="shared" si="154"/>
        <v>Данные не заполены</v>
      </c>
      <c r="Y1626" s="15">
        <f t="shared" si="163"/>
        <v>0</v>
      </c>
    </row>
    <row r="1627" hidden="1">
      <c r="A1627" s="7">
        <v>44125.82076274305</v>
      </c>
      <c r="B1627" s="8" t="s">
        <v>127</v>
      </c>
      <c r="C1627" s="8">
        <v>22063.0</v>
      </c>
      <c r="D1627" s="8" t="s">
        <v>27</v>
      </c>
      <c r="E1627" s="8" t="s">
        <v>68</v>
      </c>
      <c r="L1627" s="8" t="s">
        <v>31</v>
      </c>
      <c r="M1627" s="8" t="s">
        <v>34</v>
      </c>
      <c r="P1627" s="9">
        <v>44125.0</v>
      </c>
      <c r="Q1627" s="10">
        <v>0.04166666666424135</v>
      </c>
      <c r="R1627" s="11" t="str">
        <f t="shared" si="1"/>
        <v>Прохождение обучения</v>
      </c>
      <c r="S1627" s="16" t="str">
        <f>iferror(VLOOKUP(C1627,'ФИО'!A:B,2,0),"учётный код не найден")</f>
        <v>Белоглазов Сергей Анатольевич</v>
      </c>
      <c r="T1627" s="11" t="str">
        <f t="shared" si="162"/>
        <v/>
      </c>
      <c r="W1627" s="17" t="str">
        <f t="shared" si="164"/>
        <v>Данные не заполены</v>
      </c>
      <c r="X1627" s="14" t="str">
        <f t="shared" si="154"/>
        <v>Данные не заполены</v>
      </c>
      <c r="Y1627" s="15">
        <f t="shared" si="163"/>
        <v>0</v>
      </c>
    </row>
    <row r="1628" hidden="1">
      <c r="A1628" s="7">
        <v>44135.707004641205</v>
      </c>
      <c r="B1628" s="8" t="s">
        <v>89</v>
      </c>
      <c r="C1628" s="8">
        <v>20015.0</v>
      </c>
      <c r="D1628" s="8" t="s">
        <v>27</v>
      </c>
      <c r="E1628" s="8" t="s">
        <v>88</v>
      </c>
      <c r="G1628" s="8">
        <v>3802.0</v>
      </c>
      <c r="H1628" s="8" t="s">
        <v>45</v>
      </c>
      <c r="K1628" s="8" t="s">
        <v>120</v>
      </c>
      <c r="L1628" s="8" t="s">
        <v>37</v>
      </c>
      <c r="P1628" s="9">
        <v>44135.0</v>
      </c>
      <c r="Q1628" s="10">
        <v>0.07291666666424135</v>
      </c>
      <c r="R1628" s="11" t="str">
        <f t="shared" si="1"/>
        <v>Сборка на линии Sec</v>
      </c>
      <c r="S1628" s="16" t="str">
        <f>iferror(VLOOKUP(C1628,'ФИО'!A:B,2,0),"учётный код не найден")</f>
        <v>Ельцов Андрей Николаевич</v>
      </c>
      <c r="T1628" s="13" t="str">
        <f t="shared" si="162"/>
        <v>М15ECO (900-00030.С) 910-00034.C/910-00041.C</v>
      </c>
      <c r="U1628" s="8">
        <v>0.0</v>
      </c>
      <c r="V1628" s="8">
        <v>0.0</v>
      </c>
      <c r="W1628" s="17" t="str">
        <f t="shared" si="164"/>
        <v>Данные не заполены</v>
      </c>
      <c r="X1628" s="14" t="str">
        <f t="shared" si="154"/>
        <v>Данные не заполены</v>
      </c>
      <c r="Y1628" s="15">
        <f t="shared" si="163"/>
        <v>0</v>
      </c>
    </row>
    <row r="1629" hidden="1">
      <c r="A1629" s="7">
        <v>44135.81100635417</v>
      </c>
      <c r="B1629" s="8" t="s">
        <v>89</v>
      </c>
      <c r="C1629" s="8">
        <v>22011.0</v>
      </c>
      <c r="D1629" s="8" t="s">
        <v>27</v>
      </c>
      <c r="E1629" s="8" t="s">
        <v>88</v>
      </c>
      <c r="G1629" s="8">
        <v>3802.0</v>
      </c>
      <c r="H1629" s="8" t="s">
        <v>45</v>
      </c>
      <c r="K1629" s="8" t="s">
        <v>120</v>
      </c>
      <c r="L1629" s="8" t="s">
        <v>37</v>
      </c>
      <c r="P1629" s="9">
        <v>44135.0</v>
      </c>
      <c r="Q1629" s="10">
        <v>0.35416666666424135</v>
      </c>
      <c r="R1629" s="11" t="str">
        <f t="shared" si="1"/>
        <v>Сборка на линии Sec</v>
      </c>
      <c r="S1629" s="16" t="str">
        <f>iferror(VLOOKUP(C1629,'ФИО'!A:B,2,0),"учётный код не найден")</f>
        <v>Сергеев Алексей Андреевич</v>
      </c>
      <c r="T1629" s="13" t="str">
        <f t="shared" si="162"/>
        <v>М15ECO (900-00030.С) 910-00034.C/910-00041.C</v>
      </c>
      <c r="U1629" s="8">
        <v>0.0</v>
      </c>
      <c r="V1629" s="8">
        <v>0.0</v>
      </c>
      <c r="W1629" s="17" t="str">
        <f t="shared" si="164"/>
        <v>Данные не заполены</v>
      </c>
      <c r="X1629" s="14" t="str">
        <f t="shared" si="154"/>
        <v>Данные не заполены</v>
      </c>
      <c r="Y1629" s="15">
        <f t="shared" si="163"/>
        <v>0</v>
      </c>
    </row>
    <row r="1630" hidden="1">
      <c r="A1630" s="7">
        <v>44135.81105665509</v>
      </c>
      <c r="B1630" s="8" t="s">
        <v>89</v>
      </c>
      <c r="C1630" s="8">
        <v>21504.0</v>
      </c>
      <c r="D1630" s="8" t="s">
        <v>27</v>
      </c>
      <c r="E1630" s="8" t="s">
        <v>100</v>
      </c>
      <c r="G1630" s="8">
        <v>3802.0</v>
      </c>
      <c r="H1630" s="8" t="s">
        <v>45</v>
      </c>
      <c r="K1630" s="8" t="s">
        <v>120</v>
      </c>
      <c r="L1630" s="8" t="s">
        <v>31</v>
      </c>
      <c r="M1630" s="8" t="s">
        <v>323</v>
      </c>
      <c r="P1630" s="9">
        <v>44135.0</v>
      </c>
      <c r="Q1630" s="10">
        <v>0.39583333333575865</v>
      </c>
      <c r="R1630" s="11" t="str">
        <f t="shared" si="1"/>
        <v>Проверка плат на АОИ Sec</v>
      </c>
      <c r="S1630" s="16" t="str">
        <f>iferror(VLOOKUP(C1630,'ФИО'!A:B,2,0),"учётный код не найден")</f>
        <v>Александрова Елена Сергеевна</v>
      </c>
      <c r="T1630" s="13" t="str">
        <f t="shared" si="162"/>
        <v>М15ECO (900-00030.С) 910-00034.C/910-00041.C</v>
      </c>
      <c r="U1630" s="8">
        <v>1777.0</v>
      </c>
      <c r="V1630" s="8">
        <v>2183.0</v>
      </c>
      <c r="W1630" s="17" t="str">
        <f t="shared" si="164"/>
        <v>Данные не заполены</v>
      </c>
      <c r="X1630" s="14" t="str">
        <f t="shared" si="154"/>
        <v>Данные не заполены</v>
      </c>
      <c r="Y1630" s="15">
        <f t="shared" si="163"/>
        <v>1.228474958</v>
      </c>
      <c r="Z1630" s="8" t="s">
        <v>273</v>
      </c>
    </row>
    <row r="1631" hidden="1">
      <c r="A1631" s="7">
        <v>44135.8114022338</v>
      </c>
      <c r="B1631" s="8" t="s">
        <v>89</v>
      </c>
      <c r="C1631" s="8">
        <v>21504.0</v>
      </c>
      <c r="D1631" s="8" t="s">
        <v>27</v>
      </c>
      <c r="E1631" s="8" t="s">
        <v>68</v>
      </c>
      <c r="L1631" s="8" t="s">
        <v>31</v>
      </c>
      <c r="M1631" s="8" t="s">
        <v>34</v>
      </c>
      <c r="P1631" s="9">
        <v>44135.0</v>
      </c>
      <c r="Q1631" s="10">
        <v>0.020833333335758653</v>
      </c>
      <c r="R1631" s="11" t="str">
        <f t="shared" si="1"/>
        <v>Прохождение обучения</v>
      </c>
      <c r="S1631" s="16" t="str">
        <f>iferror(VLOOKUP(C1631,'ФИО'!A:B,2,0),"учётный код не найден")</f>
        <v>Александрова Елена Сергеевна</v>
      </c>
      <c r="T1631" s="13" t="str">
        <f t="shared" si="162"/>
        <v/>
      </c>
      <c r="W1631" s="17" t="str">
        <f t="shared" si="164"/>
        <v>Данные не заполены</v>
      </c>
      <c r="X1631" s="14" t="str">
        <f t="shared" si="154"/>
        <v>Данные не заполены</v>
      </c>
      <c r="Y1631" s="15">
        <f t="shared" si="163"/>
        <v>0</v>
      </c>
    </row>
    <row r="1632" hidden="1">
      <c r="A1632" s="7">
        <v>44135.811563090276</v>
      </c>
      <c r="B1632" s="8" t="s">
        <v>89</v>
      </c>
      <c r="C1632" s="8">
        <v>50000.0</v>
      </c>
      <c r="D1632" s="8" t="s">
        <v>27</v>
      </c>
      <c r="E1632" s="8" t="s">
        <v>88</v>
      </c>
      <c r="G1632" s="8">
        <v>3802.0</v>
      </c>
      <c r="H1632" s="8" t="s">
        <v>45</v>
      </c>
      <c r="K1632" s="8" t="s">
        <v>120</v>
      </c>
      <c r="L1632" s="8" t="s">
        <v>37</v>
      </c>
      <c r="N1632" s="8">
        <v>10.0</v>
      </c>
      <c r="O1632" s="8">
        <v>51.0</v>
      </c>
      <c r="P1632" s="9">
        <v>44135.0</v>
      </c>
      <c r="Q1632" s="10">
        <v>0.1743055555562023</v>
      </c>
      <c r="R1632" s="11" t="str">
        <f t="shared" si="1"/>
        <v>Сборка на линии Sec</v>
      </c>
      <c r="S1632" s="16" t="str">
        <f>iferror(VLOOKUP(C1632,'ФИО'!A:B,2,0),"учётный код не найден")</f>
        <v>SMT</v>
      </c>
      <c r="T1632" s="13" t="str">
        <f t="shared" si="162"/>
        <v>М15ECO (900-00030.С) 910-00034.C/910-00041.C</v>
      </c>
      <c r="U1632" s="8">
        <v>1960.0</v>
      </c>
      <c r="V1632" s="8">
        <v>0.0</v>
      </c>
      <c r="W1632" s="17">
        <f t="shared" si="164"/>
        <v>5272.235294</v>
      </c>
      <c r="X1632" s="14">
        <f t="shared" si="154"/>
        <v>0.9775331663</v>
      </c>
      <c r="Y1632" s="15">
        <f t="shared" si="163"/>
        <v>0</v>
      </c>
      <c r="Z1632" s="25" t="s">
        <v>324</v>
      </c>
    </row>
    <row r="1633" hidden="1">
      <c r="A1633" s="7">
        <v>44135.81168153935</v>
      </c>
      <c r="B1633" s="8" t="s">
        <v>89</v>
      </c>
      <c r="C1633" s="8">
        <v>21504.0</v>
      </c>
      <c r="D1633" s="8" t="s">
        <v>27</v>
      </c>
      <c r="E1633" s="8" t="s">
        <v>86</v>
      </c>
      <c r="L1633" s="8" t="s">
        <v>31</v>
      </c>
      <c r="M1633" s="8" t="s">
        <v>34</v>
      </c>
      <c r="P1633" s="9">
        <v>44135.0</v>
      </c>
      <c r="Q1633" s="10">
        <v>0.020833333335758653</v>
      </c>
      <c r="R1633" s="11" t="str">
        <f t="shared" si="1"/>
        <v>Проведение обучения</v>
      </c>
      <c r="S1633" s="16" t="str">
        <f>iferror(VLOOKUP(C1633,'ФИО'!A:B,2,0),"учётный код не найден")</f>
        <v>Александрова Елена Сергеевна</v>
      </c>
      <c r="T1633" s="13" t="str">
        <f t="shared" si="162"/>
        <v/>
      </c>
      <c r="W1633" s="17" t="str">
        <f t="shared" si="164"/>
        <v>Данные не заполены</v>
      </c>
      <c r="X1633" s="14" t="str">
        <f t="shared" si="154"/>
        <v>Данные не заполены</v>
      </c>
      <c r="Y1633" s="15">
        <f t="shared" si="163"/>
        <v>0</v>
      </c>
    </row>
    <row r="1634" hidden="1">
      <c r="A1634" s="7">
        <v>44135.811912488425</v>
      </c>
      <c r="B1634" s="8" t="s">
        <v>89</v>
      </c>
      <c r="C1634" s="8">
        <v>22011.0</v>
      </c>
      <c r="D1634" s="8" t="s">
        <v>27</v>
      </c>
      <c r="E1634" s="8" t="s">
        <v>57</v>
      </c>
      <c r="G1634" s="8">
        <v>3778.0</v>
      </c>
      <c r="H1634" s="8" t="s">
        <v>45</v>
      </c>
      <c r="K1634" s="8" t="s">
        <v>46</v>
      </c>
      <c r="L1634" s="8" t="s">
        <v>31</v>
      </c>
      <c r="M1634" s="8" t="s">
        <v>34</v>
      </c>
      <c r="P1634" s="9">
        <v>44135.0</v>
      </c>
      <c r="Q1634" s="10">
        <v>0.010416666664241347</v>
      </c>
      <c r="R1634" s="11" t="str">
        <f t="shared" si="1"/>
        <v>Настройка линии Primary</v>
      </c>
      <c r="S1634" s="16" t="str">
        <f>iferror(VLOOKUP(C1634,'ФИО'!A:B,2,0),"учётный код не найден")</f>
        <v>Сергеев Алексей Андреевич</v>
      </c>
      <c r="T1634" s="13" t="str">
        <f t="shared" si="162"/>
        <v>ПУ 910-00349.A "Печатный узел основного блока E96 4LIN"</v>
      </c>
      <c r="U1634" s="8">
        <v>1.0</v>
      </c>
      <c r="V1634" s="8">
        <v>0.0</v>
      </c>
      <c r="W1634" s="17" t="str">
        <f t="shared" si="164"/>
        <v>Данные не заполены</v>
      </c>
      <c r="X1634" s="14" t="str">
        <f t="shared" si="154"/>
        <v>Данные не заполены</v>
      </c>
      <c r="Y1634" s="15">
        <f t="shared" si="163"/>
        <v>0</v>
      </c>
    </row>
    <row r="1635" hidden="1">
      <c r="A1635" s="7">
        <v>44135.81240521991</v>
      </c>
      <c r="B1635" s="8" t="s">
        <v>89</v>
      </c>
      <c r="C1635" s="8">
        <v>20693.0</v>
      </c>
      <c r="D1635" s="8" t="s">
        <v>27</v>
      </c>
      <c r="E1635" s="8" t="s">
        <v>65</v>
      </c>
      <c r="G1635" s="8">
        <v>3778.0</v>
      </c>
      <c r="H1635" s="8" t="s">
        <v>45</v>
      </c>
      <c r="K1635" s="8" t="s">
        <v>46</v>
      </c>
      <c r="L1635" s="8" t="s">
        <v>31</v>
      </c>
      <c r="M1635" s="8" t="s">
        <v>34</v>
      </c>
      <c r="P1635" s="9">
        <v>44135.0</v>
      </c>
      <c r="Q1635" s="10">
        <v>0.29166666666424135</v>
      </c>
      <c r="R1635" s="11" t="str">
        <f t="shared" si="1"/>
        <v>Проверка комплектации</v>
      </c>
      <c r="S1635" s="16" t="str">
        <f>iferror(VLOOKUP(C1635,'ФИО'!A:B,2,0),"учётный код не найден")</f>
        <v>Аникина Раиса Владимировна</v>
      </c>
      <c r="T1635" s="13" t="str">
        <f t="shared" si="162"/>
        <v>ПУ 910-00349.A "Печатный узел основного блока E96 4LIN"</v>
      </c>
      <c r="U1635" s="8">
        <v>0.0</v>
      </c>
      <c r="V1635" s="8">
        <v>0.0</v>
      </c>
      <c r="W1635" s="17" t="str">
        <f t="shared" si="164"/>
        <v>Данные не заполены</v>
      </c>
      <c r="X1635" s="14" t="str">
        <f t="shared" si="154"/>
        <v>Данные не заполены</v>
      </c>
      <c r="Y1635" s="15">
        <f t="shared" si="163"/>
        <v>0</v>
      </c>
    </row>
    <row r="1636" hidden="1">
      <c r="A1636" s="7">
        <v>44135.81248753473</v>
      </c>
      <c r="B1636" s="8" t="s">
        <v>89</v>
      </c>
      <c r="C1636" s="8">
        <v>21504.0</v>
      </c>
      <c r="D1636" s="8" t="s">
        <v>27</v>
      </c>
      <c r="E1636" s="8" t="s">
        <v>57</v>
      </c>
      <c r="G1636" s="8">
        <v>3778.0</v>
      </c>
      <c r="H1636" s="8" t="s">
        <v>45</v>
      </c>
      <c r="K1636" s="8" t="s">
        <v>46</v>
      </c>
      <c r="L1636" s="8" t="s">
        <v>31</v>
      </c>
      <c r="M1636" s="8" t="s">
        <v>34</v>
      </c>
      <c r="P1636" s="9">
        <v>44135.0</v>
      </c>
      <c r="Q1636" s="10">
        <v>0.020833333335758653</v>
      </c>
      <c r="R1636" s="11" t="str">
        <f t="shared" si="1"/>
        <v>Настройка линии Primary</v>
      </c>
      <c r="S1636" s="16" t="str">
        <f>iferror(VLOOKUP(C1636,'ФИО'!A:B,2,0),"учётный код не найден")</f>
        <v>Александрова Елена Сергеевна</v>
      </c>
      <c r="T1636" s="13" t="str">
        <f t="shared" si="162"/>
        <v>ПУ 910-00349.A "Печатный узел основного блока E96 4LIN"</v>
      </c>
      <c r="U1636" s="8">
        <v>0.0</v>
      </c>
      <c r="V1636" s="8">
        <v>0.0</v>
      </c>
      <c r="W1636" s="17" t="str">
        <f t="shared" si="164"/>
        <v>Данные не заполены</v>
      </c>
      <c r="X1636" s="14" t="str">
        <f t="shared" si="154"/>
        <v>Данные не заполены</v>
      </c>
      <c r="Y1636" s="15">
        <f t="shared" si="163"/>
        <v>0</v>
      </c>
    </row>
    <row r="1637" hidden="1">
      <c r="A1637" s="7">
        <v>44135.8127908912</v>
      </c>
      <c r="B1637" s="8" t="s">
        <v>89</v>
      </c>
      <c r="C1637" s="8">
        <v>20693.0</v>
      </c>
      <c r="D1637" s="8" t="s">
        <v>27</v>
      </c>
      <c r="E1637" s="8" t="s">
        <v>86</v>
      </c>
      <c r="L1637" s="8" t="s">
        <v>31</v>
      </c>
      <c r="M1637" s="8" t="s">
        <v>34</v>
      </c>
      <c r="P1637" s="9">
        <v>44135.0</v>
      </c>
      <c r="Q1637" s="10">
        <v>0.020833333335758653</v>
      </c>
      <c r="R1637" s="11" t="str">
        <f t="shared" si="1"/>
        <v>Проведение обучения</v>
      </c>
      <c r="S1637" s="16" t="str">
        <f>iferror(VLOOKUP(C1637,'ФИО'!A:B,2,0),"учётный код не найден")</f>
        <v>Аникина Раиса Владимировна</v>
      </c>
      <c r="T1637" s="13" t="str">
        <f t="shared" si="162"/>
        <v/>
      </c>
      <c r="W1637" s="17" t="str">
        <f t="shared" si="164"/>
        <v>Данные не заполены</v>
      </c>
      <c r="X1637" s="14" t="str">
        <f t="shared" si="154"/>
        <v>Данные не заполены</v>
      </c>
      <c r="Y1637" s="15">
        <f t="shared" si="163"/>
        <v>0</v>
      </c>
    </row>
    <row r="1638" hidden="1">
      <c r="A1638" s="7">
        <v>44135.813254583336</v>
      </c>
      <c r="B1638" s="8" t="s">
        <v>89</v>
      </c>
      <c r="C1638" s="8">
        <v>22011.0</v>
      </c>
      <c r="D1638" s="8" t="s">
        <v>27</v>
      </c>
      <c r="E1638" s="8" t="s">
        <v>101</v>
      </c>
      <c r="G1638" s="8">
        <v>3778.0</v>
      </c>
      <c r="H1638" s="8" t="s">
        <v>45</v>
      </c>
      <c r="K1638" s="8" t="s">
        <v>46</v>
      </c>
      <c r="L1638" s="8" t="s">
        <v>31</v>
      </c>
      <c r="M1638" s="8" t="s">
        <v>34</v>
      </c>
      <c r="P1638" s="9">
        <v>44135.0</v>
      </c>
      <c r="Q1638" s="10">
        <v>0.03472222221898846</v>
      </c>
      <c r="R1638" s="11" t="str">
        <f t="shared" si="1"/>
        <v>Настройка принтера Prim</v>
      </c>
      <c r="S1638" s="16" t="str">
        <f>iferror(VLOOKUP(C1638,'ФИО'!A:B,2,0),"учётный код не найден")</f>
        <v>Сергеев Алексей Андреевич</v>
      </c>
      <c r="T1638" s="13" t="str">
        <f t="shared" si="162"/>
        <v>ПУ 910-00349.A "Печатный узел основного блока E96 4LIN"</v>
      </c>
      <c r="U1638" s="8">
        <v>1.0</v>
      </c>
      <c r="V1638" s="8">
        <v>0.0</v>
      </c>
      <c r="W1638" s="17" t="str">
        <f t="shared" si="164"/>
        <v>Данные не заполены</v>
      </c>
      <c r="X1638" s="14" t="str">
        <f t="shared" si="154"/>
        <v>Данные не заполены</v>
      </c>
      <c r="Y1638" s="15">
        <f t="shared" si="163"/>
        <v>0</v>
      </c>
    </row>
    <row r="1639" hidden="1">
      <c r="A1639" s="7">
        <v>44135.81391275463</v>
      </c>
      <c r="B1639" s="8" t="s">
        <v>89</v>
      </c>
      <c r="C1639" s="8">
        <v>22011.0</v>
      </c>
      <c r="D1639" s="8" t="s">
        <v>27</v>
      </c>
      <c r="E1639" s="8" t="s">
        <v>85</v>
      </c>
      <c r="G1639" s="8">
        <v>3802.0</v>
      </c>
      <c r="H1639" s="8" t="s">
        <v>45</v>
      </c>
      <c r="K1639" s="8" t="s">
        <v>120</v>
      </c>
      <c r="L1639" s="8" t="s">
        <v>31</v>
      </c>
      <c r="M1639" s="8" t="s">
        <v>34</v>
      </c>
      <c r="P1639" s="9">
        <v>44135.0</v>
      </c>
      <c r="Q1639" s="10">
        <v>0.010416666664241347</v>
      </c>
      <c r="R1639" s="11" t="str">
        <f t="shared" si="1"/>
        <v>Очистка трафаретного принтера</v>
      </c>
      <c r="S1639" s="16" t="str">
        <f>iferror(VLOOKUP(C1639,'ФИО'!A:B,2,0),"учётный код не найден")</f>
        <v>Сергеев Алексей Андреевич</v>
      </c>
      <c r="T1639" s="13" t="str">
        <f t="shared" si="162"/>
        <v>М15ECO (900-00030.С) 910-00034.C/910-00041.C</v>
      </c>
      <c r="U1639" s="8">
        <v>1.0</v>
      </c>
      <c r="V1639" s="8">
        <v>0.0</v>
      </c>
      <c r="W1639" s="17" t="str">
        <f t="shared" si="164"/>
        <v>Данные не заполены</v>
      </c>
      <c r="X1639" s="14" t="str">
        <f t="shared" si="154"/>
        <v>Данные не заполены</v>
      </c>
      <c r="Y1639" s="15">
        <f t="shared" si="163"/>
        <v>0</v>
      </c>
    </row>
    <row r="1640" hidden="1">
      <c r="A1640" s="7">
        <v>44135.81434181713</v>
      </c>
      <c r="B1640" s="8" t="s">
        <v>89</v>
      </c>
      <c r="C1640" s="8">
        <v>22011.0</v>
      </c>
      <c r="D1640" s="8" t="s">
        <v>27</v>
      </c>
      <c r="E1640" s="8" t="s">
        <v>68</v>
      </c>
      <c r="L1640" s="8" t="s">
        <v>31</v>
      </c>
      <c r="M1640" s="8" t="s">
        <v>34</v>
      </c>
      <c r="P1640" s="9">
        <v>44135.0</v>
      </c>
      <c r="Q1640" s="10">
        <v>0.04166666666424135</v>
      </c>
      <c r="R1640" s="11" t="str">
        <f t="shared" si="1"/>
        <v>Прохождение обучения</v>
      </c>
      <c r="S1640" s="16" t="str">
        <f>iferror(VLOOKUP(C1640,'ФИО'!A:B,2,0),"учётный код не найден")</f>
        <v>Сергеев Алексей Андреевич</v>
      </c>
      <c r="T1640" s="13" t="str">
        <f t="shared" si="162"/>
        <v/>
      </c>
      <c r="W1640" s="17" t="str">
        <f t="shared" si="164"/>
        <v>Данные не заполены</v>
      </c>
      <c r="X1640" s="14" t="str">
        <f t="shared" si="154"/>
        <v>Данные не заполены</v>
      </c>
      <c r="Y1640" s="15">
        <f t="shared" si="163"/>
        <v>0</v>
      </c>
    </row>
    <row r="1641" hidden="1">
      <c r="A1641" s="7">
        <v>44135.81510303241</v>
      </c>
      <c r="B1641" s="8" t="s">
        <v>89</v>
      </c>
      <c r="C1641" s="8">
        <v>22011.0</v>
      </c>
      <c r="D1641" s="8" t="s">
        <v>27</v>
      </c>
      <c r="E1641" s="8" t="s">
        <v>39</v>
      </c>
      <c r="G1641" s="8">
        <v>3778.0</v>
      </c>
      <c r="H1641" s="8" t="s">
        <v>45</v>
      </c>
      <c r="K1641" s="8" t="s">
        <v>46</v>
      </c>
      <c r="L1641" s="8" t="s">
        <v>31</v>
      </c>
      <c r="M1641" s="8" t="s">
        <v>34</v>
      </c>
      <c r="P1641" s="9">
        <v>44135.0</v>
      </c>
      <c r="Q1641" s="10">
        <v>0.006944444445252884</v>
      </c>
      <c r="R1641" s="11" t="str">
        <f t="shared" si="1"/>
        <v>Зарядка питателей Prim</v>
      </c>
      <c r="S1641" s="16" t="str">
        <f>iferror(VLOOKUP(C1641,'ФИО'!A:B,2,0),"учётный код не найден")</f>
        <v>Сергеев Алексей Андреевич</v>
      </c>
      <c r="T1641" s="13" t="str">
        <f t="shared" si="162"/>
        <v>ПУ 910-00349.A "Печатный узел основного блока E96 4LIN"</v>
      </c>
      <c r="U1641" s="8">
        <v>10.0</v>
      </c>
      <c r="V1641" s="8">
        <v>0.0</v>
      </c>
      <c r="W1641" s="17">
        <v>660.0</v>
      </c>
      <c r="X1641" s="14">
        <f t="shared" si="154"/>
        <v>0.9999999999</v>
      </c>
      <c r="Y1641" s="15">
        <f t="shared" si="163"/>
        <v>0</v>
      </c>
    </row>
    <row r="1642" hidden="1">
      <c r="A1642" s="7">
        <v>44135.81569400463</v>
      </c>
      <c r="B1642" s="8" t="s">
        <v>89</v>
      </c>
      <c r="C1642" s="8">
        <v>20693.0</v>
      </c>
      <c r="D1642" s="8" t="s">
        <v>27</v>
      </c>
      <c r="E1642" s="8" t="s">
        <v>68</v>
      </c>
      <c r="L1642" s="8" t="s">
        <v>31</v>
      </c>
      <c r="M1642" s="8" t="s">
        <v>34</v>
      </c>
      <c r="P1642" s="9">
        <v>44135.0</v>
      </c>
      <c r="Q1642" s="10">
        <v>0.020833333335758653</v>
      </c>
      <c r="R1642" s="11" t="str">
        <f t="shared" si="1"/>
        <v>Прохождение обучения</v>
      </c>
      <c r="S1642" s="16" t="str">
        <f>iferror(VLOOKUP(C1642,'ФИО'!A:B,2,0),"учётный код не найден")</f>
        <v>Аникина Раиса Владимировна</v>
      </c>
      <c r="T1642" s="13" t="str">
        <f t="shared" si="162"/>
        <v/>
      </c>
      <c r="W1642" s="17" t="str">
        <f t="shared" ref="W1642:W1673" si="165">IFERROR((((38412/(ifs(O1642&lt;35,35,O1642&gt;34,O1642)/N1642)*0.7))),"Данные не заполены")</f>
        <v>Данные не заполены</v>
      </c>
      <c r="X1642" s="14" t="str">
        <f t="shared" si="154"/>
        <v>Данные не заполены</v>
      </c>
      <c r="Y1642" s="15">
        <f t="shared" si="163"/>
        <v>0</v>
      </c>
    </row>
    <row r="1643" hidden="1">
      <c r="A1643" s="7">
        <v>44135.81639980324</v>
      </c>
      <c r="B1643" s="8" t="s">
        <v>89</v>
      </c>
      <c r="C1643" s="8">
        <v>20693.0</v>
      </c>
      <c r="D1643" s="8" t="s">
        <v>27</v>
      </c>
      <c r="E1643" s="8" t="s">
        <v>88</v>
      </c>
      <c r="G1643" s="8">
        <v>3802.0</v>
      </c>
      <c r="H1643" s="8" t="s">
        <v>45</v>
      </c>
      <c r="K1643" s="8" t="s">
        <v>120</v>
      </c>
      <c r="L1643" s="8" t="s">
        <v>37</v>
      </c>
      <c r="P1643" s="9">
        <v>44135.0</v>
      </c>
      <c r="Q1643" s="10">
        <v>0.125</v>
      </c>
      <c r="R1643" s="11" t="str">
        <f t="shared" si="1"/>
        <v>Сборка на линии Sec</v>
      </c>
      <c r="S1643" s="16" t="str">
        <f>iferror(VLOOKUP(C1643,'ФИО'!A:B,2,0),"учётный код не найден")</f>
        <v>Аникина Раиса Владимировна</v>
      </c>
      <c r="T1643" s="13" t="str">
        <f t="shared" si="162"/>
        <v>М15ECO (900-00030.С) 910-00034.C/910-00041.C</v>
      </c>
      <c r="U1643" s="8">
        <v>0.0</v>
      </c>
      <c r="V1643" s="8">
        <v>0.0</v>
      </c>
      <c r="W1643" s="17" t="str">
        <f t="shared" si="165"/>
        <v>Данные не заполены</v>
      </c>
      <c r="X1643" s="14" t="str">
        <f t="shared" si="154"/>
        <v>Данные не заполены</v>
      </c>
      <c r="Y1643" s="15">
        <f t="shared" si="163"/>
        <v>0</v>
      </c>
    </row>
    <row r="1644" hidden="1">
      <c r="A1644" s="7">
        <v>44135.81689480324</v>
      </c>
      <c r="B1644" s="8" t="s">
        <v>89</v>
      </c>
      <c r="C1644" s="8">
        <v>21954.0</v>
      </c>
      <c r="D1644" s="8" t="s">
        <v>27</v>
      </c>
      <c r="E1644" s="8" t="s">
        <v>68</v>
      </c>
      <c r="L1644" s="8" t="s">
        <v>31</v>
      </c>
      <c r="M1644" s="8" t="s">
        <v>34</v>
      </c>
      <c r="P1644" s="9">
        <v>44135.0</v>
      </c>
      <c r="Q1644" s="10">
        <v>0.04166666666424135</v>
      </c>
      <c r="R1644" s="11" t="str">
        <f t="shared" si="1"/>
        <v>Прохождение обучения</v>
      </c>
      <c r="S1644" s="16" t="str">
        <f>iferror(VLOOKUP(C1644,'ФИО'!A:B,2,0),"учётный код не найден")</f>
        <v>Александров Александр Викторович</v>
      </c>
      <c r="T1644" s="13" t="str">
        <f t="shared" si="162"/>
        <v/>
      </c>
      <c r="W1644" s="17" t="str">
        <f t="shared" si="165"/>
        <v>Данные не заполены</v>
      </c>
      <c r="X1644" s="14" t="str">
        <f t="shared" si="154"/>
        <v>Данные не заполены</v>
      </c>
      <c r="Y1644" s="15">
        <f t="shared" si="163"/>
        <v>0</v>
      </c>
    </row>
    <row r="1645" hidden="1">
      <c r="A1645" s="7">
        <v>44135.81799758102</v>
      </c>
      <c r="B1645" s="8" t="s">
        <v>89</v>
      </c>
      <c r="C1645" s="8">
        <v>21954.0</v>
      </c>
      <c r="D1645" s="8" t="s">
        <v>27</v>
      </c>
      <c r="E1645" s="8" t="s">
        <v>39</v>
      </c>
      <c r="G1645" s="8">
        <v>3778.0</v>
      </c>
      <c r="H1645" s="8" t="s">
        <v>45</v>
      </c>
      <c r="K1645" s="8" t="s">
        <v>46</v>
      </c>
      <c r="L1645" s="8" t="s">
        <v>31</v>
      </c>
      <c r="M1645" s="8" t="s">
        <v>34</v>
      </c>
      <c r="P1645" s="9">
        <v>44135.0</v>
      </c>
      <c r="Q1645" s="10">
        <v>0.010416666664241347</v>
      </c>
      <c r="R1645" s="11" t="str">
        <f t="shared" si="1"/>
        <v>Зарядка питателей Prim</v>
      </c>
      <c r="S1645" s="16" t="str">
        <f>iferror(VLOOKUP(C1645,'ФИО'!A:B,2,0),"учётный код не найден")</f>
        <v>Александров Александр Викторович</v>
      </c>
      <c r="T1645" s="13" t="str">
        <f t="shared" si="162"/>
        <v>ПУ 910-00349.A "Печатный узел основного блока E96 4LIN"</v>
      </c>
      <c r="U1645" s="8">
        <v>15.0</v>
      </c>
      <c r="V1645" s="8">
        <v>0.0</v>
      </c>
      <c r="W1645" s="17" t="str">
        <f t="shared" si="165"/>
        <v>Данные не заполены</v>
      </c>
      <c r="X1645" s="14" t="str">
        <f t="shared" si="154"/>
        <v>Данные не заполены</v>
      </c>
      <c r="Y1645" s="15">
        <f t="shared" si="163"/>
        <v>0</v>
      </c>
    </row>
    <row r="1646" hidden="1">
      <c r="A1646" s="7">
        <v>44135.81953875</v>
      </c>
      <c r="B1646" s="8" t="s">
        <v>89</v>
      </c>
      <c r="C1646" s="8">
        <v>21954.0</v>
      </c>
      <c r="D1646" s="8" t="s">
        <v>27</v>
      </c>
      <c r="E1646" s="8" t="s">
        <v>88</v>
      </c>
      <c r="G1646" s="8">
        <v>3802.0</v>
      </c>
      <c r="H1646" s="8" t="s">
        <v>45</v>
      </c>
      <c r="K1646" s="8" t="s">
        <v>52</v>
      </c>
      <c r="L1646" s="8" t="s">
        <v>37</v>
      </c>
      <c r="P1646" s="9">
        <v>44135.0</v>
      </c>
      <c r="Q1646" s="10">
        <v>0.40625</v>
      </c>
      <c r="R1646" s="11" t="str">
        <f t="shared" si="1"/>
        <v>Сборка на линии Sec</v>
      </c>
      <c r="S1646" s="16" t="str">
        <f>iferror(VLOOKUP(C1646,'ФИО'!A:B,2,0),"учётный код не найден")</f>
        <v>Александров Александр Викторович</v>
      </c>
      <c r="T1646" s="13" t="str">
        <f t="shared" si="162"/>
        <v>М17V2 (900-00018.D)_910-00023.H и ПУ 910-00012.I</v>
      </c>
      <c r="U1646" s="8">
        <v>0.0</v>
      </c>
      <c r="V1646" s="8">
        <v>0.0</v>
      </c>
      <c r="W1646" s="17" t="str">
        <f t="shared" si="165"/>
        <v>Данные не заполены</v>
      </c>
      <c r="X1646" s="14" t="str">
        <f t="shared" si="154"/>
        <v>Данные не заполены</v>
      </c>
      <c r="Y1646" s="15">
        <f t="shared" si="163"/>
        <v>0</v>
      </c>
    </row>
    <row r="1647" hidden="1">
      <c r="A1647" s="7">
        <v>44135.82175771991</v>
      </c>
      <c r="B1647" s="8" t="s">
        <v>89</v>
      </c>
      <c r="C1647" s="8">
        <v>21852.0</v>
      </c>
      <c r="D1647" s="8" t="s">
        <v>27</v>
      </c>
      <c r="E1647" s="8" t="s">
        <v>48</v>
      </c>
      <c r="L1647" s="8" t="s">
        <v>31</v>
      </c>
      <c r="M1647" s="8" t="s">
        <v>34</v>
      </c>
      <c r="P1647" s="9">
        <v>44135.0</v>
      </c>
      <c r="Q1647" s="10">
        <v>0.08333333333575865</v>
      </c>
      <c r="R1647" s="11" t="str">
        <f t="shared" si="1"/>
        <v>Выполнение организационных работ</v>
      </c>
      <c r="S1647" s="16" t="str">
        <f>iferror(VLOOKUP(C1647,'ФИО'!A:B,2,0),"учётный код не найден")</f>
        <v>Пономарев Юрий Андреевич</v>
      </c>
      <c r="T1647" s="13" t="str">
        <f t="shared" si="162"/>
        <v/>
      </c>
      <c r="W1647" s="17" t="str">
        <f t="shared" si="165"/>
        <v>Данные не заполены</v>
      </c>
      <c r="X1647" s="14" t="str">
        <f t="shared" si="154"/>
        <v>Данные не заполены</v>
      </c>
      <c r="Y1647" s="15">
        <f t="shared" si="163"/>
        <v>0</v>
      </c>
    </row>
    <row r="1648" hidden="1">
      <c r="A1648" s="7">
        <v>44135.821990717595</v>
      </c>
      <c r="B1648" s="8" t="s">
        <v>89</v>
      </c>
      <c r="C1648" s="8">
        <v>21852.0</v>
      </c>
      <c r="D1648" s="8" t="s">
        <v>27</v>
      </c>
      <c r="E1648" s="8" t="s">
        <v>68</v>
      </c>
      <c r="L1648" s="8" t="s">
        <v>31</v>
      </c>
      <c r="M1648" s="8" t="s">
        <v>34</v>
      </c>
      <c r="P1648" s="9">
        <v>44135.0</v>
      </c>
      <c r="Q1648" s="10">
        <v>0.04166666666424135</v>
      </c>
      <c r="R1648" s="11" t="str">
        <f t="shared" si="1"/>
        <v>Прохождение обучения</v>
      </c>
      <c r="S1648" s="16" t="str">
        <f>iferror(VLOOKUP(C1648,'ФИО'!A:B,2,0),"учётный код не найден")</f>
        <v>Пономарев Юрий Андреевич</v>
      </c>
      <c r="T1648" s="13" t="str">
        <f t="shared" si="162"/>
        <v/>
      </c>
      <c r="W1648" s="17" t="str">
        <f t="shared" si="165"/>
        <v>Данные не заполены</v>
      </c>
      <c r="X1648" s="14" t="str">
        <f t="shared" si="154"/>
        <v>Данные не заполены</v>
      </c>
      <c r="Y1648" s="15">
        <f t="shared" si="163"/>
        <v>0</v>
      </c>
    </row>
    <row r="1649" hidden="1">
      <c r="A1649" s="7">
        <v>44135.82224119213</v>
      </c>
      <c r="B1649" s="8" t="s">
        <v>89</v>
      </c>
      <c r="C1649" s="8">
        <v>21852.0</v>
      </c>
      <c r="D1649" s="8" t="s">
        <v>69</v>
      </c>
      <c r="F1649" s="8" t="s">
        <v>104</v>
      </c>
      <c r="L1649" s="8" t="s">
        <v>31</v>
      </c>
      <c r="M1649" s="8" t="s">
        <v>208</v>
      </c>
      <c r="P1649" s="9">
        <v>44135.0</v>
      </c>
      <c r="Q1649" s="10">
        <v>0.33333333333575865</v>
      </c>
      <c r="R1649" s="11" t="str">
        <f t="shared" si="1"/>
        <v>Обучение</v>
      </c>
      <c r="S1649" s="16" t="str">
        <f>iferror(VLOOKUP(C1649,'ФИО'!A:B,2,0),"учётный код не найден")</f>
        <v>Пономарев Юрий Андреевич</v>
      </c>
      <c r="T1649" s="13" t="str">
        <f t="shared" si="162"/>
        <v/>
      </c>
      <c r="W1649" s="17" t="str">
        <f t="shared" si="165"/>
        <v>Данные не заполены</v>
      </c>
      <c r="X1649" s="14" t="str">
        <f t="shared" si="154"/>
        <v>Данные не заполены</v>
      </c>
      <c r="Y1649" s="15">
        <f t="shared" si="163"/>
        <v>0</v>
      </c>
    </row>
    <row r="1650" hidden="1">
      <c r="A1650" s="7">
        <v>44119.65073930555</v>
      </c>
      <c r="B1650" s="8" t="s">
        <v>89</v>
      </c>
      <c r="C1650" s="8">
        <v>20015.0</v>
      </c>
      <c r="D1650" s="8" t="s">
        <v>69</v>
      </c>
      <c r="F1650" s="8" t="s">
        <v>305</v>
      </c>
      <c r="G1650" s="8">
        <v>3234.0</v>
      </c>
      <c r="H1650" s="8" t="s">
        <v>29</v>
      </c>
      <c r="I1650" s="8" t="s">
        <v>135</v>
      </c>
      <c r="L1650" s="8" t="s">
        <v>31</v>
      </c>
      <c r="M1650" s="8" t="s">
        <v>215</v>
      </c>
      <c r="P1650" s="9">
        <v>44119.0</v>
      </c>
      <c r="Q1650" s="10">
        <v>0.010416666664241347</v>
      </c>
      <c r="R1650" s="11" t="str">
        <f t="shared" si="1"/>
        <v>Установка компонентов  на платы (ручная) SEC</v>
      </c>
      <c r="S1650" s="16" t="str">
        <f>iferror(VLOOKUP(C1650,'ФИО'!A:B,2,0),"учётный код не найден")</f>
        <v>Ельцов Андрей Николаевич</v>
      </c>
      <c r="T1650" s="13" t="str">
        <f t="shared" si="162"/>
        <v>915-00101.A - ПКД-9В АСЛБ.467249.107 (Квант)</v>
      </c>
      <c r="U1650" s="8">
        <v>10.0</v>
      </c>
      <c r="V1650" s="8">
        <v>0.0</v>
      </c>
      <c r="W1650" s="17" t="str">
        <f t="shared" si="165"/>
        <v>Данные не заполены</v>
      </c>
      <c r="X1650" s="14" t="str">
        <f t="shared" si="154"/>
        <v>Данные не заполены</v>
      </c>
      <c r="Y1650" s="15">
        <f t="shared" si="163"/>
        <v>0</v>
      </c>
    </row>
    <row r="1651" hidden="1">
      <c r="A1651" s="7">
        <v>44119.47021864583</v>
      </c>
      <c r="B1651" s="8" t="s">
        <v>89</v>
      </c>
      <c r="C1651" s="8">
        <v>20015.0</v>
      </c>
      <c r="D1651" s="8" t="s">
        <v>69</v>
      </c>
      <c r="F1651" s="8" t="s">
        <v>304</v>
      </c>
      <c r="G1651" s="8">
        <v>3238.0</v>
      </c>
      <c r="H1651" s="8" t="s">
        <v>29</v>
      </c>
      <c r="I1651" s="8" t="s">
        <v>43</v>
      </c>
      <c r="L1651" s="8" t="s">
        <v>31</v>
      </c>
      <c r="M1651" s="8" t="s">
        <v>34</v>
      </c>
      <c r="P1651" s="9">
        <v>44119.0</v>
      </c>
      <c r="Q1651" s="10">
        <v>0.04166666666424135</v>
      </c>
      <c r="R1651" s="11" t="str">
        <f t="shared" si="1"/>
        <v>Формовка компонетов</v>
      </c>
      <c r="S1651" s="16" t="str">
        <f>iferror(VLOOKUP(C1651,'ФИО'!A:B,2,0),"учётный код не найден")</f>
        <v>Ельцов Андрей Николаевич</v>
      </c>
      <c r="T1651" s="13" t="str">
        <f t="shared" si="162"/>
        <v>915-00097.A - ПКД-8В-3 АСЛБ.467249.110 (Квант)</v>
      </c>
      <c r="U1651" s="8">
        <v>0.0</v>
      </c>
      <c r="V1651" s="8">
        <v>0.0</v>
      </c>
      <c r="W1651" s="17" t="str">
        <f t="shared" si="165"/>
        <v>Данные не заполены</v>
      </c>
      <c r="X1651" s="14" t="str">
        <f t="shared" si="154"/>
        <v>Данные не заполены</v>
      </c>
      <c r="Y1651" s="15">
        <f t="shared" si="163"/>
        <v>0</v>
      </c>
    </row>
    <row r="1652" hidden="1">
      <c r="A1652" s="7">
        <v>44119.62285429398</v>
      </c>
      <c r="B1652" s="8" t="s">
        <v>89</v>
      </c>
      <c r="C1652" s="8">
        <v>20015.0</v>
      </c>
      <c r="D1652" s="8" t="s">
        <v>69</v>
      </c>
      <c r="F1652" s="8" t="s">
        <v>304</v>
      </c>
      <c r="G1652" s="8">
        <v>3234.0</v>
      </c>
      <c r="H1652" s="8" t="s">
        <v>29</v>
      </c>
      <c r="I1652" s="8" t="s">
        <v>135</v>
      </c>
      <c r="L1652" s="8" t="s">
        <v>31</v>
      </c>
      <c r="M1652" s="8" t="s">
        <v>34</v>
      </c>
      <c r="P1652" s="9">
        <v>44119.0</v>
      </c>
      <c r="Q1652" s="10">
        <v>0.020833333335758653</v>
      </c>
      <c r="R1652" s="11" t="str">
        <f t="shared" si="1"/>
        <v>Формовка компонетов</v>
      </c>
      <c r="S1652" s="16" t="str">
        <f>iferror(VLOOKUP(C1652,'ФИО'!A:B,2,0),"учётный код не найден")</f>
        <v>Ельцов Андрей Николаевич</v>
      </c>
      <c r="T1652" s="13" t="str">
        <f t="shared" si="162"/>
        <v>915-00101.A - ПКД-9В АСЛБ.467249.107 (Квант)</v>
      </c>
      <c r="U1652" s="8">
        <v>0.0</v>
      </c>
      <c r="V1652" s="8">
        <v>0.0</v>
      </c>
      <c r="W1652" s="17" t="str">
        <f t="shared" si="165"/>
        <v>Данные не заполены</v>
      </c>
      <c r="X1652" s="14" t="str">
        <f t="shared" si="154"/>
        <v>Данные не заполены</v>
      </c>
      <c r="Y1652" s="15">
        <f t="shared" si="163"/>
        <v>0</v>
      </c>
    </row>
    <row r="1653" hidden="1">
      <c r="A1653" s="7">
        <v>44136.32157771991</v>
      </c>
      <c r="B1653" s="8" t="s">
        <v>126</v>
      </c>
      <c r="C1653" s="8">
        <v>50000.0</v>
      </c>
      <c r="D1653" s="8" t="s">
        <v>27</v>
      </c>
      <c r="E1653" s="8" t="s">
        <v>67</v>
      </c>
      <c r="G1653" s="8">
        <v>3778.0</v>
      </c>
      <c r="H1653" s="8" t="s">
        <v>45</v>
      </c>
      <c r="K1653" s="8" t="s">
        <v>46</v>
      </c>
      <c r="L1653" s="8" t="s">
        <v>37</v>
      </c>
      <c r="N1653" s="8">
        <v>4.0</v>
      </c>
      <c r="O1653" s="8">
        <v>60.0</v>
      </c>
      <c r="P1653" s="9">
        <v>44135.0</v>
      </c>
      <c r="Q1653" s="10">
        <v>0.015972222223354038</v>
      </c>
      <c r="R1653" s="11" t="str">
        <f t="shared" si="1"/>
        <v>Сборка на линии Prim</v>
      </c>
      <c r="S1653" s="12" t="str">
        <f>iferror(VLOOKUP(C1653,'ФИО'!A:B,2,0),"учётный код не найден")</f>
        <v>SMT</v>
      </c>
      <c r="T1653" s="13" t="str">
        <f t="shared" si="162"/>
        <v>ПУ 910-00349.A "Печатный узел основного блока E96 4LIN"</v>
      </c>
      <c r="U1653" s="8">
        <v>8.0</v>
      </c>
      <c r="V1653" s="8">
        <v>0.0</v>
      </c>
      <c r="W1653" s="17">
        <f t="shared" si="165"/>
        <v>1792.56</v>
      </c>
      <c r="X1653" s="14">
        <f t="shared" si="154"/>
        <v>0.1280655696</v>
      </c>
      <c r="Y1653" s="15">
        <f t="shared" si="163"/>
        <v>0</v>
      </c>
    </row>
    <row r="1654" hidden="1">
      <c r="A1654" s="7">
        <v>44136.31985598379</v>
      </c>
      <c r="B1654" s="8" t="s">
        <v>126</v>
      </c>
      <c r="C1654" s="8">
        <v>20849.0</v>
      </c>
      <c r="D1654" s="8" t="s">
        <v>27</v>
      </c>
      <c r="E1654" s="8" t="s">
        <v>48</v>
      </c>
      <c r="L1654" s="8" t="s">
        <v>31</v>
      </c>
      <c r="M1654" s="8" t="s">
        <v>34</v>
      </c>
      <c r="P1654" s="9">
        <v>44135.0</v>
      </c>
      <c r="Q1654" s="10">
        <v>0.4166666666666667</v>
      </c>
      <c r="R1654" s="11" t="str">
        <f t="shared" si="1"/>
        <v>Выполнение организационных работ</v>
      </c>
      <c r="S1654" s="12" t="str">
        <f>iferror(VLOOKUP(C1654,'ФИО'!A:B,2,0),"учётный код не найден")</f>
        <v>Шилоносов Максим Евгеньевич</v>
      </c>
      <c r="T1654" s="13" t="str">
        <f t="shared" si="162"/>
        <v/>
      </c>
      <c r="W1654" s="17" t="str">
        <f t="shared" si="165"/>
        <v>Данные не заполены</v>
      </c>
      <c r="X1654" s="14" t="str">
        <f t="shared" si="154"/>
        <v>Данные не заполены</v>
      </c>
      <c r="Y1654" s="15">
        <f t="shared" si="163"/>
        <v>0</v>
      </c>
    </row>
    <row r="1655" hidden="1">
      <c r="A1655" s="7">
        <v>44136.32421414352</v>
      </c>
      <c r="B1655" s="8" t="s">
        <v>126</v>
      </c>
      <c r="C1655" s="8">
        <v>20849.0</v>
      </c>
      <c r="D1655" s="8" t="s">
        <v>27</v>
      </c>
      <c r="E1655" s="8" t="s">
        <v>86</v>
      </c>
      <c r="L1655" s="8" t="s">
        <v>31</v>
      </c>
      <c r="M1655" s="8" t="s">
        <v>34</v>
      </c>
      <c r="P1655" s="9">
        <v>44135.0</v>
      </c>
      <c r="Q1655" s="10">
        <v>0.04166666666424135</v>
      </c>
      <c r="R1655" s="11" t="str">
        <f t="shared" si="1"/>
        <v>Проведение обучения</v>
      </c>
      <c r="S1655" s="12" t="str">
        <f>iferror(VLOOKUP(C1655,'ФИО'!A:B,2,0),"учётный код не найден")</f>
        <v>Шилоносов Максим Евгеньевич</v>
      </c>
      <c r="T1655" s="13" t="str">
        <f t="shared" si="162"/>
        <v/>
      </c>
      <c r="W1655" s="17" t="str">
        <f t="shared" si="165"/>
        <v>Данные не заполены</v>
      </c>
      <c r="X1655" s="14" t="str">
        <f t="shared" si="154"/>
        <v>Данные не заполены</v>
      </c>
      <c r="Y1655" s="15">
        <f t="shared" si="163"/>
        <v>0</v>
      </c>
    </row>
    <row r="1656" hidden="1">
      <c r="A1656" s="7">
        <v>44136.32447452546</v>
      </c>
      <c r="B1656" s="8" t="s">
        <v>126</v>
      </c>
      <c r="C1656" s="8">
        <v>21927.0</v>
      </c>
      <c r="D1656" s="8" t="s">
        <v>27</v>
      </c>
      <c r="E1656" s="8" t="s">
        <v>68</v>
      </c>
      <c r="L1656" s="8" t="s">
        <v>31</v>
      </c>
      <c r="M1656" s="8" t="s">
        <v>34</v>
      </c>
      <c r="P1656" s="9">
        <v>44135.0</v>
      </c>
      <c r="Q1656" s="10">
        <v>0.04166666666424135</v>
      </c>
      <c r="R1656" s="11" t="str">
        <f t="shared" si="1"/>
        <v>Прохождение обучения</v>
      </c>
      <c r="S1656" s="12" t="str">
        <f>iferror(VLOOKUP(C1656,'ФИО'!A:B,2,0),"учётный код не найден")</f>
        <v>Шергин Родион Олегович</v>
      </c>
      <c r="T1656" s="13" t="str">
        <f t="shared" si="162"/>
        <v/>
      </c>
      <c r="W1656" s="17" t="str">
        <f t="shared" si="165"/>
        <v>Данные не заполены</v>
      </c>
      <c r="X1656" s="14" t="str">
        <f t="shared" si="154"/>
        <v>Данные не заполены</v>
      </c>
      <c r="Y1656" s="15">
        <f t="shared" si="163"/>
        <v>0</v>
      </c>
    </row>
    <row r="1657" hidden="1">
      <c r="A1657" s="7">
        <v>44136.32517373843</v>
      </c>
      <c r="B1657" s="8" t="s">
        <v>126</v>
      </c>
      <c r="C1657" s="8">
        <v>21927.0</v>
      </c>
      <c r="D1657" s="8" t="s">
        <v>27</v>
      </c>
      <c r="E1657" s="8" t="s">
        <v>39</v>
      </c>
      <c r="G1657" s="8">
        <v>3778.0</v>
      </c>
      <c r="H1657" s="8" t="s">
        <v>45</v>
      </c>
      <c r="K1657" s="8" t="s">
        <v>46</v>
      </c>
      <c r="L1657" s="8" t="s">
        <v>31</v>
      </c>
      <c r="M1657" s="8" t="s">
        <v>34</v>
      </c>
      <c r="P1657" s="9">
        <v>44135.0</v>
      </c>
      <c r="Q1657" s="10">
        <v>0.020833333335758653</v>
      </c>
      <c r="R1657" s="11" t="str">
        <f t="shared" si="1"/>
        <v>Зарядка питателей Prim</v>
      </c>
      <c r="S1657" s="12" t="str">
        <f>iferror(VLOOKUP(C1657,'ФИО'!A:B,2,0),"учётный код не найден")</f>
        <v>Шергин Родион Олегович</v>
      </c>
      <c r="T1657" s="13" t="str">
        <f t="shared" si="162"/>
        <v>ПУ 910-00349.A "Печатный узел основного блока E96 4LIN"</v>
      </c>
      <c r="U1657" s="8">
        <v>20.0</v>
      </c>
      <c r="V1657" s="8">
        <v>0.0</v>
      </c>
      <c r="W1657" s="17" t="str">
        <f t="shared" si="165"/>
        <v>Данные не заполены</v>
      </c>
      <c r="X1657" s="14" t="str">
        <f t="shared" si="154"/>
        <v>Данные не заполены</v>
      </c>
      <c r="Y1657" s="15">
        <f t="shared" si="163"/>
        <v>0</v>
      </c>
    </row>
    <row r="1658" hidden="1">
      <c r="A1658" s="7">
        <v>44136.32566125</v>
      </c>
      <c r="B1658" s="8" t="s">
        <v>126</v>
      </c>
      <c r="C1658" s="8">
        <v>21927.0</v>
      </c>
      <c r="D1658" s="8" t="s">
        <v>27</v>
      </c>
      <c r="E1658" s="8" t="s">
        <v>82</v>
      </c>
      <c r="G1658" s="8">
        <v>3778.0</v>
      </c>
      <c r="H1658" s="8" t="s">
        <v>45</v>
      </c>
      <c r="K1658" s="8" t="s">
        <v>46</v>
      </c>
      <c r="L1658" s="8" t="s">
        <v>31</v>
      </c>
      <c r="M1658" s="8" t="s">
        <v>34</v>
      </c>
      <c r="P1658" s="9">
        <v>44135.0</v>
      </c>
      <c r="Q1658" s="10">
        <v>0.041666666666666664</v>
      </c>
      <c r="R1658" s="11" t="str">
        <f t="shared" si="1"/>
        <v>Настройка установщиков</v>
      </c>
      <c r="S1658" s="12" t="str">
        <f>iferror(VLOOKUP(C1658,'ФИО'!A:B,2,0),"учётный код не найден")</f>
        <v>Шергин Родион Олегович</v>
      </c>
      <c r="T1658" s="13" t="str">
        <f t="shared" si="162"/>
        <v>ПУ 910-00349.A "Печатный узел основного блока E96 4LIN"</v>
      </c>
      <c r="U1658" s="8">
        <v>0.0</v>
      </c>
      <c r="V1658" s="8">
        <v>0.0</v>
      </c>
      <c r="W1658" s="17" t="str">
        <f t="shared" si="165"/>
        <v>Данные не заполены</v>
      </c>
      <c r="X1658" s="14" t="str">
        <f t="shared" si="154"/>
        <v>Данные не заполены</v>
      </c>
      <c r="Y1658" s="15">
        <f t="shared" si="163"/>
        <v>0</v>
      </c>
    </row>
    <row r="1659" hidden="1">
      <c r="A1659" s="7">
        <v>44136.325987118056</v>
      </c>
      <c r="B1659" s="8" t="s">
        <v>126</v>
      </c>
      <c r="C1659" s="8">
        <v>21927.0</v>
      </c>
      <c r="D1659" s="8" t="s">
        <v>27</v>
      </c>
      <c r="E1659" s="8" t="s">
        <v>67</v>
      </c>
      <c r="G1659" s="8">
        <v>3778.0</v>
      </c>
      <c r="H1659" s="8" t="s">
        <v>45</v>
      </c>
      <c r="K1659" s="8" t="s">
        <v>46</v>
      </c>
      <c r="L1659" s="8" t="s">
        <v>37</v>
      </c>
      <c r="P1659" s="9">
        <v>44135.0</v>
      </c>
      <c r="Q1659" s="10">
        <v>0.14583333333575865</v>
      </c>
      <c r="R1659" s="11" t="str">
        <f t="shared" si="1"/>
        <v>Сборка на линии Prim</v>
      </c>
      <c r="S1659" s="12" t="str">
        <f>iferror(VLOOKUP(C1659,'ФИО'!A:B,2,0),"учётный код не найден")</f>
        <v>Шергин Родион Олегович</v>
      </c>
      <c r="T1659" s="13" t="str">
        <f t="shared" si="162"/>
        <v>ПУ 910-00349.A "Печатный узел основного блока E96 4LIN"</v>
      </c>
      <c r="U1659" s="8">
        <v>0.0</v>
      </c>
      <c r="V1659" s="8">
        <v>0.0</v>
      </c>
      <c r="W1659" s="17" t="str">
        <f t="shared" si="165"/>
        <v>Данные не заполены</v>
      </c>
      <c r="X1659" s="14" t="str">
        <f t="shared" si="154"/>
        <v>Данные не заполены</v>
      </c>
      <c r="Y1659" s="15">
        <f t="shared" si="163"/>
        <v>0</v>
      </c>
    </row>
    <row r="1660" hidden="1">
      <c r="A1660" s="7">
        <v>44136.3263497338</v>
      </c>
      <c r="B1660" s="8" t="s">
        <v>126</v>
      </c>
      <c r="C1660" s="8">
        <v>21927.0</v>
      </c>
      <c r="D1660" s="8" t="s">
        <v>27</v>
      </c>
      <c r="E1660" s="8" t="s">
        <v>195</v>
      </c>
      <c r="G1660" s="8">
        <v>3778.0</v>
      </c>
      <c r="H1660" s="8" t="s">
        <v>45</v>
      </c>
      <c r="K1660" s="8" t="s">
        <v>46</v>
      </c>
      <c r="L1660" s="8" t="s">
        <v>31</v>
      </c>
      <c r="M1660" s="8" t="s">
        <v>34</v>
      </c>
      <c r="P1660" s="9">
        <v>44135.0</v>
      </c>
      <c r="Q1660" s="10">
        <v>0.16666666666424135</v>
      </c>
      <c r="R1660" s="11" t="str">
        <f t="shared" si="1"/>
        <v>Проверка программы на АОИ PRI</v>
      </c>
      <c r="S1660" s="12" t="str">
        <f>iferror(VLOOKUP(C1660,'ФИО'!A:B,2,0),"учётный код не найден")</f>
        <v>Шергин Родион Олегович</v>
      </c>
      <c r="T1660" s="13" t="str">
        <f t="shared" si="162"/>
        <v>ПУ 910-00349.A "Печатный узел основного блока E96 4LIN"</v>
      </c>
      <c r="U1660" s="8">
        <v>0.0</v>
      </c>
      <c r="V1660" s="8">
        <v>0.0</v>
      </c>
      <c r="W1660" s="17" t="str">
        <f t="shared" si="165"/>
        <v>Данные не заполены</v>
      </c>
      <c r="X1660" s="14" t="str">
        <f t="shared" si="154"/>
        <v>Данные не заполены</v>
      </c>
      <c r="Y1660" s="15">
        <f t="shared" si="163"/>
        <v>0</v>
      </c>
    </row>
    <row r="1661" hidden="1">
      <c r="A1661" s="7">
        <v>44136.326663796295</v>
      </c>
      <c r="B1661" s="8" t="s">
        <v>126</v>
      </c>
      <c r="C1661" s="8">
        <v>21927.0</v>
      </c>
      <c r="D1661" s="8" t="s">
        <v>27</v>
      </c>
      <c r="E1661" s="8" t="s">
        <v>123</v>
      </c>
      <c r="G1661" s="8">
        <v>3778.0</v>
      </c>
      <c r="H1661" s="8" t="s">
        <v>45</v>
      </c>
      <c r="K1661" s="8" t="s">
        <v>46</v>
      </c>
      <c r="L1661" s="8" t="s">
        <v>31</v>
      </c>
      <c r="M1661" s="8" t="s">
        <v>34</v>
      </c>
      <c r="P1661" s="9">
        <v>44135.0</v>
      </c>
      <c r="Q1661" s="10">
        <v>0.04166666666424135</v>
      </c>
      <c r="R1661" s="11" t="str">
        <f t="shared" si="1"/>
        <v>Настойка первой платы на АОИ PRI</v>
      </c>
      <c r="S1661" s="12" t="str">
        <f>iferror(VLOOKUP(C1661,'ФИО'!A:B,2,0),"учётный код не найден")</f>
        <v>Шергин Родион Олегович</v>
      </c>
      <c r="T1661" s="13" t="str">
        <f t="shared" si="162"/>
        <v>ПУ 910-00349.A "Печатный узел основного блока E96 4LIN"</v>
      </c>
      <c r="U1661" s="8">
        <v>0.0</v>
      </c>
      <c r="V1661" s="8">
        <v>0.0</v>
      </c>
      <c r="W1661" s="17" t="str">
        <f t="shared" si="165"/>
        <v>Данные не заполены</v>
      </c>
      <c r="X1661" s="14" t="str">
        <f t="shared" si="154"/>
        <v>Данные не заполены</v>
      </c>
      <c r="Y1661" s="15">
        <f t="shared" si="163"/>
        <v>0</v>
      </c>
    </row>
    <row r="1662" hidden="1">
      <c r="A1662" s="7">
        <v>44136.30762894676</v>
      </c>
      <c r="B1662" s="8" t="s">
        <v>126</v>
      </c>
      <c r="C1662" s="8">
        <v>22574.0</v>
      </c>
      <c r="D1662" s="8" t="s">
        <v>27</v>
      </c>
      <c r="E1662" s="8" t="s">
        <v>112</v>
      </c>
      <c r="G1662" s="8">
        <v>3621.0</v>
      </c>
      <c r="H1662" s="8" t="s">
        <v>29</v>
      </c>
      <c r="I1662" s="8" t="s">
        <v>30</v>
      </c>
      <c r="L1662" s="8" t="s">
        <v>31</v>
      </c>
      <c r="M1662" s="8" t="s">
        <v>34</v>
      </c>
      <c r="P1662" s="9">
        <v>44135.0</v>
      </c>
      <c r="Q1662" s="10">
        <v>0.020833333335758653</v>
      </c>
      <c r="R1662" s="11" t="str">
        <f t="shared" si="1"/>
        <v>Разрядка питателей Sec</v>
      </c>
      <c r="S1662" s="12" t="str">
        <f>iferror(VLOOKUP(C1662,'ФИО'!A:B,2,0),"учётный код не найден")</f>
        <v>Шапенков Геннадий Михайлович</v>
      </c>
      <c r="T1662" s="13" t="str">
        <f t="shared" si="162"/>
        <v>915-00121.A - Процессорный модуль РСЕН.469555.027 (КНС Групп) в ТС</v>
      </c>
      <c r="U1662" s="8">
        <v>0.0</v>
      </c>
      <c r="V1662" s="8">
        <v>0.0</v>
      </c>
      <c r="W1662" s="17" t="str">
        <f t="shared" si="165"/>
        <v>Данные не заполены</v>
      </c>
      <c r="X1662" s="14" t="str">
        <f t="shared" si="154"/>
        <v>Данные не заполены</v>
      </c>
      <c r="Y1662" s="15">
        <f t="shared" si="163"/>
        <v>0</v>
      </c>
    </row>
    <row r="1663" hidden="1">
      <c r="A1663" s="7">
        <v>44136.30849740741</v>
      </c>
      <c r="B1663" s="8" t="s">
        <v>126</v>
      </c>
      <c r="C1663" s="8">
        <v>22574.0</v>
      </c>
      <c r="D1663" s="8" t="s">
        <v>27</v>
      </c>
      <c r="E1663" s="8" t="s">
        <v>39</v>
      </c>
      <c r="G1663" s="8">
        <v>3778.0</v>
      </c>
      <c r="H1663" s="8" t="s">
        <v>45</v>
      </c>
      <c r="K1663" s="8" t="s">
        <v>46</v>
      </c>
      <c r="L1663" s="8" t="s">
        <v>31</v>
      </c>
      <c r="M1663" s="8" t="s">
        <v>34</v>
      </c>
      <c r="P1663" s="9">
        <v>44135.0</v>
      </c>
      <c r="Q1663" s="10">
        <v>0.04166666666424135</v>
      </c>
      <c r="R1663" s="11" t="str">
        <f t="shared" si="1"/>
        <v>Зарядка питателей Prim</v>
      </c>
      <c r="S1663" s="12" t="str">
        <f>iferror(VLOOKUP(C1663,'ФИО'!A:B,2,0),"учётный код не найден")</f>
        <v>Шапенков Геннадий Михайлович</v>
      </c>
      <c r="T1663" s="13" t="str">
        <f t="shared" si="162"/>
        <v>ПУ 910-00349.A "Печатный узел основного блока E96 4LIN"</v>
      </c>
      <c r="U1663" s="8">
        <v>0.0</v>
      </c>
      <c r="V1663" s="8">
        <v>0.0</v>
      </c>
      <c r="W1663" s="17" t="str">
        <f t="shared" si="165"/>
        <v>Данные не заполены</v>
      </c>
      <c r="X1663" s="14" t="str">
        <f t="shared" si="154"/>
        <v>Данные не заполены</v>
      </c>
      <c r="Y1663" s="15">
        <f t="shared" si="163"/>
        <v>0</v>
      </c>
    </row>
    <row r="1664" hidden="1">
      <c r="A1664" s="7">
        <v>44136.309335405094</v>
      </c>
      <c r="B1664" s="8" t="s">
        <v>126</v>
      </c>
      <c r="C1664" s="8">
        <v>22574.0</v>
      </c>
      <c r="D1664" s="8" t="s">
        <v>27</v>
      </c>
      <c r="E1664" s="8" t="s">
        <v>82</v>
      </c>
      <c r="G1664" s="8">
        <v>3778.0</v>
      </c>
      <c r="H1664" s="8" t="s">
        <v>45</v>
      </c>
      <c r="K1664" s="8" t="s">
        <v>46</v>
      </c>
      <c r="L1664" s="8" t="s">
        <v>31</v>
      </c>
      <c r="M1664" s="8" t="s">
        <v>34</v>
      </c>
      <c r="P1664" s="9">
        <v>44135.0</v>
      </c>
      <c r="Q1664" s="10">
        <v>0.020833333335758653</v>
      </c>
      <c r="R1664" s="11" t="str">
        <f t="shared" si="1"/>
        <v>Настройка установщиков</v>
      </c>
      <c r="S1664" s="12" t="str">
        <f>iferror(VLOOKUP(C1664,'ФИО'!A:B,2,0),"учётный код не найден")</f>
        <v>Шапенков Геннадий Михайлович</v>
      </c>
      <c r="T1664" s="13" t="str">
        <f t="shared" si="162"/>
        <v>ПУ 910-00349.A "Печатный узел основного блока E96 4LIN"</v>
      </c>
      <c r="U1664" s="8">
        <v>0.0</v>
      </c>
      <c r="V1664" s="8">
        <v>0.0</v>
      </c>
      <c r="W1664" s="17" t="str">
        <f t="shared" si="165"/>
        <v>Данные не заполены</v>
      </c>
      <c r="X1664" s="14" t="str">
        <f t="shared" si="154"/>
        <v>Данные не заполены</v>
      </c>
      <c r="Y1664" s="15">
        <f t="shared" si="163"/>
        <v>0</v>
      </c>
    </row>
    <row r="1665" hidden="1">
      <c r="A1665" s="7">
        <v>44136.310218900464</v>
      </c>
      <c r="B1665" s="8" t="s">
        <v>126</v>
      </c>
      <c r="C1665" s="8">
        <v>22574.0</v>
      </c>
      <c r="D1665" s="8" t="s">
        <v>27</v>
      </c>
      <c r="E1665" s="8" t="s">
        <v>66</v>
      </c>
      <c r="G1665" s="8">
        <v>3778.0</v>
      </c>
      <c r="H1665" s="8" t="s">
        <v>45</v>
      </c>
      <c r="K1665" s="8" t="s">
        <v>46</v>
      </c>
      <c r="L1665" s="8" t="s">
        <v>37</v>
      </c>
      <c r="P1665" s="9">
        <v>44135.0</v>
      </c>
      <c r="Q1665" s="10">
        <v>0.25</v>
      </c>
      <c r="R1665" s="11" t="str">
        <f t="shared" si="1"/>
        <v>Проверка первой платы до оплавления</v>
      </c>
      <c r="S1665" s="12" t="str">
        <f>iferror(VLOOKUP(C1665,'ФИО'!A:B,2,0),"учётный код не найден")</f>
        <v>Шапенков Геннадий Михайлович</v>
      </c>
      <c r="T1665" s="13" t="str">
        <f t="shared" si="162"/>
        <v>ПУ 910-00349.A "Печатный узел основного блока E96 4LIN"</v>
      </c>
      <c r="U1665" s="8">
        <v>0.0</v>
      </c>
      <c r="V1665" s="8">
        <v>0.0</v>
      </c>
      <c r="W1665" s="17" t="str">
        <f t="shared" si="165"/>
        <v>Данные не заполены</v>
      </c>
      <c r="X1665" s="14" t="str">
        <f t="shared" si="154"/>
        <v>Данные не заполены</v>
      </c>
      <c r="Y1665" s="15">
        <f t="shared" si="163"/>
        <v>0</v>
      </c>
    </row>
    <row r="1666" hidden="1">
      <c r="A1666" s="7">
        <v>44136.310815000004</v>
      </c>
      <c r="B1666" s="8" t="s">
        <v>126</v>
      </c>
      <c r="C1666" s="8">
        <v>22574.0</v>
      </c>
      <c r="D1666" s="8" t="s">
        <v>27</v>
      </c>
      <c r="E1666" s="8" t="s">
        <v>28</v>
      </c>
      <c r="G1666" s="8">
        <v>3778.0</v>
      </c>
      <c r="H1666" s="8" t="s">
        <v>45</v>
      </c>
      <c r="K1666" s="8" t="s">
        <v>46</v>
      </c>
      <c r="L1666" s="8" t="s">
        <v>31</v>
      </c>
      <c r="M1666" s="8" t="s">
        <v>34</v>
      </c>
      <c r="P1666" s="9">
        <v>44135.0</v>
      </c>
      <c r="Q1666" s="10">
        <v>0.08333333333575865</v>
      </c>
      <c r="R1666" s="11" t="str">
        <f t="shared" si="1"/>
        <v>Выполнение дополнительных работ на линии</v>
      </c>
      <c r="S1666" s="12" t="str">
        <f>iferror(VLOOKUP(C1666,'ФИО'!A:B,2,0),"учётный код не найден")</f>
        <v>Шапенков Геннадий Михайлович</v>
      </c>
      <c r="T1666" s="13" t="str">
        <f t="shared" si="162"/>
        <v>ПУ 910-00349.A "Печатный узел основного блока E96 4LIN"</v>
      </c>
      <c r="U1666" s="8">
        <v>0.0</v>
      </c>
      <c r="V1666" s="8">
        <v>0.0</v>
      </c>
      <c r="W1666" s="17" t="str">
        <f t="shared" si="165"/>
        <v>Данные не заполены</v>
      </c>
      <c r="X1666" s="14" t="str">
        <f t="shared" si="154"/>
        <v>Данные не заполены</v>
      </c>
      <c r="Y1666" s="15">
        <f t="shared" si="163"/>
        <v>0</v>
      </c>
    </row>
    <row r="1667" hidden="1">
      <c r="A1667" s="7">
        <v>44136.31124579861</v>
      </c>
      <c r="B1667" s="8" t="s">
        <v>126</v>
      </c>
      <c r="C1667" s="8">
        <v>22574.0</v>
      </c>
      <c r="D1667" s="8" t="s">
        <v>27</v>
      </c>
      <c r="E1667" s="8" t="s">
        <v>68</v>
      </c>
      <c r="L1667" s="8" t="s">
        <v>31</v>
      </c>
      <c r="M1667" s="8" t="s">
        <v>34</v>
      </c>
      <c r="P1667" s="9">
        <v>44135.0</v>
      </c>
      <c r="Q1667" s="10">
        <v>0.04166666666424135</v>
      </c>
      <c r="R1667" s="11" t="str">
        <f t="shared" si="1"/>
        <v>Прохождение обучения</v>
      </c>
      <c r="S1667" s="12" t="str">
        <f>iferror(VLOOKUP(C1667,'ФИО'!A:B,2,0),"учётный код не найден")</f>
        <v>Шапенков Геннадий Михайлович</v>
      </c>
      <c r="T1667" s="13" t="str">
        <f t="shared" si="162"/>
        <v/>
      </c>
      <c r="W1667" s="17" t="str">
        <f t="shared" si="165"/>
        <v>Данные не заполены</v>
      </c>
      <c r="X1667" s="14" t="str">
        <f t="shared" si="154"/>
        <v>Данные не заполены</v>
      </c>
      <c r="Y1667" s="15">
        <f t="shared" si="163"/>
        <v>0</v>
      </c>
    </row>
    <row r="1668" hidden="1">
      <c r="A1668" s="7">
        <v>44136.32506700231</v>
      </c>
      <c r="B1668" s="8" t="s">
        <v>126</v>
      </c>
      <c r="C1668" s="8">
        <v>21171.0</v>
      </c>
      <c r="D1668" s="8" t="s">
        <v>27</v>
      </c>
      <c r="E1668" s="8" t="s">
        <v>282</v>
      </c>
      <c r="G1668" s="8">
        <v>3621.0</v>
      </c>
      <c r="H1668" s="8" t="s">
        <v>29</v>
      </c>
      <c r="I1668" s="8" t="s">
        <v>54</v>
      </c>
      <c r="L1668" s="8" t="s">
        <v>31</v>
      </c>
      <c r="M1668" s="8" t="s">
        <v>34</v>
      </c>
      <c r="P1668" s="9">
        <v>44135.0</v>
      </c>
      <c r="Q1668" s="10">
        <v>0.41666666666424135</v>
      </c>
      <c r="R1668" s="11" t="str">
        <f t="shared" si="1"/>
        <v>Создание программы для AOI SEC</v>
      </c>
      <c r="S1668" s="12" t="str">
        <f>iferror(VLOOKUP(C1668,'ФИО'!A:B,2,0),"учётный код не найден")</f>
        <v>Муртищева Ольга Валентиновна</v>
      </c>
      <c r="T1668" s="13" t="str">
        <f t="shared" si="162"/>
        <v>915-00121.A - Процессорный модуль РСЕН.469555.027 (КНС Групп)</v>
      </c>
      <c r="U1668" s="8">
        <v>0.0</v>
      </c>
      <c r="V1668" s="8">
        <v>0.0</v>
      </c>
      <c r="W1668" s="17" t="str">
        <f t="shared" si="165"/>
        <v>Данные не заполены</v>
      </c>
      <c r="X1668" s="14" t="str">
        <f t="shared" si="154"/>
        <v>Данные не заполены</v>
      </c>
      <c r="Y1668" s="15">
        <f t="shared" si="163"/>
        <v>0</v>
      </c>
    </row>
    <row r="1669" hidden="1">
      <c r="A1669" s="7">
        <v>44136.32535814815</v>
      </c>
      <c r="B1669" s="8" t="s">
        <v>126</v>
      </c>
      <c r="C1669" s="8">
        <v>21171.0</v>
      </c>
      <c r="D1669" s="8" t="s">
        <v>27</v>
      </c>
      <c r="E1669" s="8" t="s">
        <v>68</v>
      </c>
      <c r="L1669" s="8" t="s">
        <v>31</v>
      </c>
      <c r="M1669" s="8" t="s">
        <v>34</v>
      </c>
      <c r="P1669" s="9">
        <v>44135.0</v>
      </c>
      <c r="Q1669" s="10">
        <v>0.04166666666424135</v>
      </c>
      <c r="R1669" s="11" t="str">
        <f t="shared" si="1"/>
        <v>Прохождение обучения</v>
      </c>
      <c r="S1669" s="12" t="str">
        <f>iferror(VLOOKUP(C1669,'ФИО'!A:B,2,0),"учётный код не найден")</f>
        <v>Муртищева Ольга Валентиновна</v>
      </c>
      <c r="T1669" s="13" t="str">
        <f t="shared" si="162"/>
        <v/>
      </c>
      <c r="W1669" s="17" t="str">
        <f t="shared" si="165"/>
        <v>Данные не заполены</v>
      </c>
      <c r="X1669" s="14" t="str">
        <f t="shared" si="154"/>
        <v>Данные не заполены</v>
      </c>
      <c r="Y1669" s="15">
        <f t="shared" si="163"/>
        <v>0</v>
      </c>
    </row>
    <row r="1670" hidden="1">
      <c r="A1670" s="7">
        <v>44136.309264270836</v>
      </c>
      <c r="B1670" s="8" t="s">
        <v>126</v>
      </c>
      <c r="C1670" s="8">
        <v>22063.0</v>
      </c>
      <c r="D1670" s="8" t="s">
        <v>27</v>
      </c>
      <c r="E1670" s="8" t="s">
        <v>39</v>
      </c>
      <c r="G1670" s="8">
        <v>3778.0</v>
      </c>
      <c r="H1670" s="8" t="s">
        <v>45</v>
      </c>
      <c r="K1670" s="8" t="s">
        <v>46</v>
      </c>
      <c r="L1670" s="8" t="s">
        <v>31</v>
      </c>
      <c r="M1670" s="8" t="s">
        <v>34</v>
      </c>
      <c r="P1670" s="9">
        <v>44135.0</v>
      </c>
      <c r="Q1670" s="10">
        <v>0.020833333335758653</v>
      </c>
      <c r="R1670" s="11" t="str">
        <f t="shared" si="1"/>
        <v>Зарядка питателей Prim</v>
      </c>
      <c r="S1670" s="12" t="str">
        <f>iferror(VLOOKUP(C1670,'ФИО'!A:B,2,0),"учётный код не найден")</f>
        <v>Белоглазов Сергей Анатольевич</v>
      </c>
      <c r="T1670" s="13" t="str">
        <f t="shared" si="162"/>
        <v>ПУ 910-00349.A "Печатный узел основного блока E96 4LIN"</v>
      </c>
      <c r="U1670" s="8">
        <v>20.0</v>
      </c>
      <c r="V1670" s="8">
        <v>0.0</v>
      </c>
      <c r="W1670" s="17" t="str">
        <f t="shared" si="165"/>
        <v>Данные не заполены</v>
      </c>
      <c r="X1670" s="14" t="str">
        <f t="shared" si="154"/>
        <v>Данные не заполены</v>
      </c>
      <c r="Y1670" s="15">
        <f t="shared" si="163"/>
        <v>0</v>
      </c>
    </row>
    <row r="1671" hidden="1">
      <c r="A1671" s="7">
        <v>44136.31068775463</v>
      </c>
      <c r="B1671" s="8" t="s">
        <v>126</v>
      </c>
      <c r="C1671" s="8">
        <v>22063.0</v>
      </c>
      <c r="D1671" s="8" t="s">
        <v>27</v>
      </c>
      <c r="E1671" s="8" t="s">
        <v>66</v>
      </c>
      <c r="G1671" s="8">
        <v>3778.0</v>
      </c>
      <c r="H1671" s="8" t="s">
        <v>45</v>
      </c>
      <c r="K1671" s="8" t="s">
        <v>46</v>
      </c>
      <c r="L1671" s="8" t="s">
        <v>31</v>
      </c>
      <c r="M1671" s="8" t="s">
        <v>34</v>
      </c>
      <c r="P1671" s="9">
        <v>44135.0</v>
      </c>
      <c r="Q1671" s="10">
        <v>0.25</v>
      </c>
      <c r="R1671" s="11" t="str">
        <f t="shared" si="1"/>
        <v>Проверка первой платы до оплавления</v>
      </c>
      <c r="S1671" s="12" t="str">
        <f>iferror(VLOOKUP(C1671,'ФИО'!A:B,2,0),"учётный код не найден")</f>
        <v>Белоглазов Сергей Анатольевич</v>
      </c>
      <c r="T1671" s="13" t="str">
        <f t="shared" si="162"/>
        <v>ПУ 910-00349.A "Печатный узел основного блока E96 4LIN"</v>
      </c>
      <c r="U1671" s="8">
        <v>0.0</v>
      </c>
      <c r="V1671" s="8">
        <v>0.0</v>
      </c>
      <c r="W1671" s="17" t="str">
        <f t="shared" si="165"/>
        <v>Данные не заполены</v>
      </c>
      <c r="X1671" s="14" t="str">
        <f t="shared" si="154"/>
        <v>Данные не заполены</v>
      </c>
      <c r="Y1671" s="15">
        <f t="shared" si="163"/>
        <v>0</v>
      </c>
    </row>
    <row r="1672" hidden="1">
      <c r="A1672" s="7">
        <v>44136.3113115625</v>
      </c>
      <c r="B1672" s="8" t="s">
        <v>126</v>
      </c>
      <c r="C1672" s="8">
        <v>22063.0</v>
      </c>
      <c r="D1672" s="8" t="s">
        <v>27</v>
      </c>
      <c r="E1672" s="8" t="s">
        <v>68</v>
      </c>
      <c r="L1672" s="8" t="s">
        <v>31</v>
      </c>
      <c r="M1672" s="8" t="s">
        <v>34</v>
      </c>
      <c r="P1672" s="9">
        <v>44135.0</v>
      </c>
      <c r="Q1672" s="10">
        <v>0.04166666666424135</v>
      </c>
      <c r="R1672" s="11" t="str">
        <f t="shared" si="1"/>
        <v>Прохождение обучения</v>
      </c>
      <c r="S1672" s="12" t="str">
        <f>iferror(VLOOKUP(C1672,'ФИО'!A:B,2,0),"учётный код не найден")</f>
        <v>Белоглазов Сергей Анатольевич</v>
      </c>
      <c r="T1672" s="13" t="str">
        <f t="shared" si="162"/>
        <v/>
      </c>
      <c r="W1672" s="17" t="str">
        <f t="shared" si="165"/>
        <v>Данные не заполены</v>
      </c>
      <c r="X1672" s="14" t="str">
        <f t="shared" si="154"/>
        <v>Данные не заполены</v>
      </c>
      <c r="Y1672" s="15">
        <f t="shared" si="163"/>
        <v>0</v>
      </c>
    </row>
    <row r="1673" hidden="1">
      <c r="A1673" s="7">
        <v>44136.31488497685</v>
      </c>
      <c r="B1673" s="8" t="s">
        <v>126</v>
      </c>
      <c r="C1673" s="8">
        <v>22063.0</v>
      </c>
      <c r="D1673" s="8" t="s">
        <v>27</v>
      </c>
      <c r="E1673" s="8" t="s">
        <v>67</v>
      </c>
      <c r="G1673" s="8">
        <v>3778.0</v>
      </c>
      <c r="H1673" s="8" t="s">
        <v>45</v>
      </c>
      <c r="K1673" s="8" t="s">
        <v>46</v>
      </c>
      <c r="L1673" s="8" t="s">
        <v>37</v>
      </c>
      <c r="P1673" s="9">
        <v>44135.0</v>
      </c>
      <c r="Q1673" s="10">
        <v>0.14583333333575865</v>
      </c>
      <c r="R1673" s="11" t="str">
        <f t="shared" si="1"/>
        <v>Сборка на линии Prim</v>
      </c>
      <c r="S1673" s="12" t="str">
        <f>iferror(VLOOKUP(C1673,'ФИО'!A:B,2,0),"учётный код не найден")</f>
        <v>Белоглазов Сергей Анатольевич</v>
      </c>
      <c r="T1673" s="13" t="str">
        <f t="shared" si="162"/>
        <v>ПУ 910-00349.A "Печатный узел основного блока E96 4LIN"</v>
      </c>
      <c r="U1673" s="8">
        <v>0.0</v>
      </c>
      <c r="V1673" s="8">
        <v>0.0</v>
      </c>
      <c r="W1673" s="17" t="str">
        <f t="shared" si="165"/>
        <v>Данные не заполены</v>
      </c>
      <c r="X1673" s="14" t="str">
        <f t="shared" si="154"/>
        <v>Данные не заполены</v>
      </c>
      <c r="Y1673" s="15">
        <f t="shared" si="163"/>
        <v>0</v>
      </c>
    </row>
    <row r="1674" hidden="1">
      <c r="A1674" s="7">
        <v>44136.502095324075</v>
      </c>
      <c r="B1674" s="8" t="s">
        <v>26</v>
      </c>
      <c r="C1674" s="8">
        <v>20015.0</v>
      </c>
      <c r="D1674" s="8" t="s">
        <v>69</v>
      </c>
      <c r="F1674" s="8" t="s">
        <v>106</v>
      </c>
      <c r="G1674" s="8">
        <v>3793.0</v>
      </c>
      <c r="H1674" s="8" t="s">
        <v>29</v>
      </c>
      <c r="I1674" s="8" t="s">
        <v>163</v>
      </c>
      <c r="L1674" s="8" t="s">
        <v>31</v>
      </c>
      <c r="M1674" s="8" t="s">
        <v>34</v>
      </c>
      <c r="P1674" s="9">
        <v>44136.0</v>
      </c>
      <c r="Q1674" s="10">
        <v>0.04166666666424135</v>
      </c>
      <c r="R1674" s="11" t="str">
        <f t="shared" si="1"/>
        <v>Настройка SEHO PRI</v>
      </c>
      <c r="S1674" s="12" t="str">
        <f>iferror(VLOOKUP(C1674,'ФИО'!A:B,2,0),"учётный код не найден")</f>
        <v>Ельцов Андрей Николаевич</v>
      </c>
      <c r="T1674" s="13" t="str">
        <f t="shared" si="162"/>
        <v>915-00068.A - uklsip(s)220_v3.01 (Гефест)</v>
      </c>
      <c r="U1674" s="8">
        <v>0.0</v>
      </c>
      <c r="V1674" s="8">
        <v>0.0</v>
      </c>
      <c r="X1674" s="14" t="str">
        <f t="shared" si="154"/>
        <v>Данные не заполены</v>
      </c>
      <c r="Y1674" s="15">
        <f t="shared" si="163"/>
        <v>0</v>
      </c>
    </row>
    <row r="1675" hidden="1">
      <c r="A1675" s="7">
        <v>44136.502648634254</v>
      </c>
      <c r="B1675" s="8" t="s">
        <v>26</v>
      </c>
      <c r="C1675" s="8">
        <v>20015.0</v>
      </c>
      <c r="D1675" s="8" t="s">
        <v>69</v>
      </c>
      <c r="F1675" s="8" t="s">
        <v>206</v>
      </c>
      <c r="G1675" s="8">
        <v>3793.0</v>
      </c>
      <c r="H1675" s="8" t="s">
        <v>29</v>
      </c>
      <c r="I1675" s="8" t="s">
        <v>163</v>
      </c>
      <c r="L1675" s="8" t="s">
        <v>31</v>
      </c>
      <c r="M1675" s="8" t="s">
        <v>34</v>
      </c>
      <c r="P1675" s="9">
        <v>44136.0</v>
      </c>
      <c r="Q1675" s="10">
        <v>0.020833333335758653</v>
      </c>
      <c r="R1675" s="11" t="str">
        <f t="shared" si="1"/>
        <v>Настройка линии</v>
      </c>
      <c r="S1675" s="12" t="str">
        <f>iferror(VLOOKUP(C1675,'ФИО'!A:B,2,0),"учётный код не найден")</f>
        <v>Ельцов Андрей Николаевич</v>
      </c>
      <c r="T1675" s="13" t="str">
        <f t="shared" si="162"/>
        <v>915-00068.A - uklsip(s)220_v3.01 (Гефест)</v>
      </c>
      <c r="U1675" s="8">
        <v>0.0</v>
      </c>
      <c r="V1675" s="8">
        <v>0.0</v>
      </c>
      <c r="X1675" s="14" t="str">
        <f t="shared" si="154"/>
        <v>Данные не заполены</v>
      </c>
      <c r="Y1675" s="15">
        <f t="shared" si="163"/>
        <v>0</v>
      </c>
    </row>
    <row r="1676" hidden="1">
      <c r="A1676" s="7">
        <v>44136.5030072338</v>
      </c>
      <c r="B1676" s="8" t="s">
        <v>26</v>
      </c>
      <c r="C1676" s="8">
        <v>20015.0</v>
      </c>
      <c r="D1676" s="8" t="s">
        <v>69</v>
      </c>
      <c r="F1676" s="8" t="s">
        <v>221</v>
      </c>
      <c r="G1676" s="8">
        <v>3793.0</v>
      </c>
      <c r="H1676" s="8" t="s">
        <v>29</v>
      </c>
      <c r="I1676" s="8" t="s">
        <v>163</v>
      </c>
      <c r="L1676" s="8" t="s">
        <v>31</v>
      </c>
      <c r="M1676" s="8" t="s">
        <v>34</v>
      </c>
      <c r="P1676" s="9">
        <v>44136.0</v>
      </c>
      <c r="Q1676" s="10">
        <v>0.0625</v>
      </c>
      <c r="R1676" s="11" t="str">
        <f t="shared" si="1"/>
        <v>Настройка MODUS</v>
      </c>
      <c r="S1676" s="12" t="str">
        <f>iferror(VLOOKUP(C1676,'ФИО'!A:B,2,0),"учётный код не найден")</f>
        <v>Ельцов Андрей Николаевич</v>
      </c>
      <c r="T1676" s="13" t="str">
        <f t="shared" si="162"/>
        <v>915-00068.A - uklsip(s)220_v3.01 (Гефест)</v>
      </c>
      <c r="U1676" s="8">
        <v>0.0</v>
      </c>
      <c r="V1676" s="8">
        <v>0.0</v>
      </c>
      <c r="X1676" s="14" t="str">
        <f t="shared" si="154"/>
        <v>Данные не заполены</v>
      </c>
      <c r="Y1676" s="15">
        <f t="shared" si="163"/>
        <v>0</v>
      </c>
    </row>
    <row r="1677" hidden="1">
      <c r="A1677" s="7">
        <v>44136.59000974537</v>
      </c>
      <c r="B1677" s="8" t="s">
        <v>26</v>
      </c>
      <c r="C1677" s="8">
        <v>20015.0</v>
      </c>
      <c r="D1677" s="8" t="s">
        <v>69</v>
      </c>
      <c r="F1677" s="8" t="s">
        <v>290</v>
      </c>
      <c r="G1677" s="8">
        <v>3793.0</v>
      </c>
      <c r="H1677" s="8" t="s">
        <v>29</v>
      </c>
      <c r="I1677" s="8" t="s">
        <v>163</v>
      </c>
      <c r="L1677" s="8" t="s">
        <v>31</v>
      </c>
      <c r="M1677" s="8" t="s">
        <v>34</v>
      </c>
      <c r="P1677" s="9">
        <v>44136.0</v>
      </c>
      <c r="Q1677" s="10">
        <v>0.03125</v>
      </c>
      <c r="R1677" s="11" t="str">
        <f t="shared" si="1"/>
        <v>Установка компонентов  на платы (ручная) PRI</v>
      </c>
      <c r="S1677" s="12" t="str">
        <f>iferror(VLOOKUP(C1677,'ФИО'!A:B,2,0),"учётный код не найден")</f>
        <v>Ельцов Андрей Николаевич</v>
      </c>
      <c r="T1677" s="13" t="str">
        <f t="shared" si="162"/>
        <v>915-00068.A - uklsip(s)220_v3.01 (Гефест)</v>
      </c>
      <c r="U1677" s="8">
        <v>196.0</v>
      </c>
      <c r="V1677" s="8">
        <v>0.0</v>
      </c>
      <c r="X1677" s="14" t="str">
        <f t="shared" si="154"/>
        <v>Данные не заполены</v>
      </c>
      <c r="Y1677" s="15">
        <f t="shared" si="163"/>
        <v>0</v>
      </c>
    </row>
    <row r="1678" hidden="1">
      <c r="A1678" s="7">
        <v>44136.590259062505</v>
      </c>
      <c r="B1678" s="8" t="s">
        <v>26</v>
      </c>
      <c r="C1678" s="8">
        <v>20015.0</v>
      </c>
      <c r="D1678" s="8" t="s">
        <v>69</v>
      </c>
      <c r="F1678" s="8" t="s">
        <v>50</v>
      </c>
      <c r="L1678" s="8" t="s">
        <v>31</v>
      </c>
      <c r="M1678" s="8" t="s">
        <v>34</v>
      </c>
      <c r="P1678" s="9">
        <v>44136.0</v>
      </c>
      <c r="Q1678" s="10">
        <v>0.006944444445252884</v>
      </c>
      <c r="R1678" s="11" t="str">
        <f t="shared" si="1"/>
        <v>Заполнение отчёта</v>
      </c>
      <c r="S1678" s="12" t="str">
        <f>iferror(VLOOKUP(C1678,'ФИО'!A:B,2,0),"учётный код не найден")</f>
        <v>Ельцов Андрей Николаевич</v>
      </c>
      <c r="T1678" s="13" t="str">
        <f t="shared" si="162"/>
        <v/>
      </c>
      <c r="X1678" s="14" t="str">
        <f t="shared" si="154"/>
        <v>Данные не заполены</v>
      </c>
      <c r="Y1678" s="15">
        <f t="shared" si="163"/>
        <v>0</v>
      </c>
    </row>
    <row r="1679" hidden="1">
      <c r="A1679" s="7">
        <v>44136.59095326389</v>
      </c>
      <c r="B1679" s="8" t="s">
        <v>26</v>
      </c>
      <c r="C1679" s="8">
        <v>20015.0</v>
      </c>
      <c r="D1679" s="8" t="s">
        <v>69</v>
      </c>
      <c r="F1679" s="8" t="s">
        <v>207</v>
      </c>
      <c r="G1679" s="8">
        <v>3793.0</v>
      </c>
      <c r="H1679" s="8" t="s">
        <v>29</v>
      </c>
      <c r="I1679" s="8" t="s">
        <v>163</v>
      </c>
      <c r="L1679" s="8" t="s">
        <v>31</v>
      </c>
      <c r="M1679" s="8" t="s">
        <v>34</v>
      </c>
      <c r="P1679" s="9">
        <v>44136.0</v>
      </c>
      <c r="Q1679" s="10">
        <v>0.0034722222189884633</v>
      </c>
      <c r="R1679" s="11" t="str">
        <f t="shared" si="1"/>
        <v>Проверка первой платы после пайки</v>
      </c>
      <c r="S1679" s="12" t="str">
        <f>iferror(VLOOKUP(C1679,'ФИО'!A:B,2,0),"учётный код не найден")</f>
        <v>Ельцов Андрей Николаевич</v>
      </c>
      <c r="T1679" s="13" t="str">
        <f t="shared" si="162"/>
        <v>915-00068.A - uklsip(s)220_v3.01 (Гефест)</v>
      </c>
      <c r="U1679" s="8">
        <v>7.0</v>
      </c>
      <c r="V1679" s="8">
        <v>0.0</v>
      </c>
      <c r="X1679" s="14" t="str">
        <f t="shared" si="154"/>
        <v>Данные не заполены</v>
      </c>
      <c r="Y1679" s="15">
        <f t="shared" si="163"/>
        <v>0</v>
      </c>
    </row>
    <row r="1680" hidden="1">
      <c r="A1680" s="7">
        <v>44136.59250503472</v>
      </c>
      <c r="B1680" s="8" t="s">
        <v>26</v>
      </c>
      <c r="C1680" s="8">
        <v>20015.0</v>
      </c>
      <c r="D1680" s="8" t="s">
        <v>69</v>
      </c>
      <c r="F1680" s="8" t="s">
        <v>304</v>
      </c>
      <c r="G1680" s="8">
        <v>3793.0</v>
      </c>
      <c r="H1680" s="8" t="s">
        <v>29</v>
      </c>
      <c r="I1680" s="8" t="s">
        <v>163</v>
      </c>
      <c r="L1680" s="8" t="s">
        <v>31</v>
      </c>
      <c r="M1680" s="8" t="s">
        <v>34</v>
      </c>
      <c r="P1680" s="9">
        <v>44136.0</v>
      </c>
      <c r="Q1680" s="10">
        <v>0.04166666666424135</v>
      </c>
      <c r="R1680" s="11" t="str">
        <f t="shared" si="1"/>
        <v>Формовка компонетов</v>
      </c>
      <c r="S1680" s="12" t="str">
        <f>iferror(VLOOKUP(C1680,'ФИО'!A:B,2,0),"учётный код не найден")</f>
        <v>Ельцов Андрей Николаевич</v>
      </c>
      <c r="T1680" s="13" t="str">
        <f t="shared" si="162"/>
        <v>915-00068.A - uklsip(s)220_v3.01 (Гефест)</v>
      </c>
      <c r="U1680" s="8">
        <v>196.0</v>
      </c>
      <c r="V1680" s="8">
        <v>0.0</v>
      </c>
      <c r="X1680" s="14" t="str">
        <f t="shared" si="154"/>
        <v>Данные не заполены</v>
      </c>
      <c r="Y1680" s="15">
        <f t="shared" si="163"/>
        <v>0</v>
      </c>
    </row>
    <row r="1681" hidden="1">
      <c r="A1681" s="7">
        <v>44136.67223622685</v>
      </c>
      <c r="B1681" s="8" t="s">
        <v>26</v>
      </c>
      <c r="C1681" s="8">
        <v>20015.0</v>
      </c>
      <c r="D1681" s="8" t="s">
        <v>69</v>
      </c>
      <c r="F1681" s="8" t="s">
        <v>172</v>
      </c>
      <c r="L1681" s="8" t="s">
        <v>31</v>
      </c>
      <c r="M1681" s="8" t="s">
        <v>34</v>
      </c>
      <c r="P1681" s="9">
        <v>44136.0</v>
      </c>
      <c r="Q1681" s="10">
        <v>0.04166666666424135</v>
      </c>
      <c r="R1681" s="11" t="str">
        <f t="shared" si="1"/>
        <v>Организационные работы</v>
      </c>
      <c r="S1681" s="12" t="str">
        <f>iferror(VLOOKUP(C1681,'ФИО'!A:B,2,0),"учётный код не найден")</f>
        <v>Ельцов Андрей Николаевич</v>
      </c>
      <c r="T1681" s="13" t="str">
        <f t="shared" si="162"/>
        <v/>
      </c>
      <c r="X1681" s="14" t="str">
        <f t="shared" si="154"/>
        <v>Данные не заполены</v>
      </c>
      <c r="Y1681" s="15">
        <f t="shared" si="163"/>
        <v>0</v>
      </c>
    </row>
    <row r="1682" hidden="1">
      <c r="A1682" s="7">
        <v>44136.825453136575</v>
      </c>
      <c r="B1682" s="8" t="s">
        <v>26</v>
      </c>
      <c r="C1682" s="8">
        <v>21522.0</v>
      </c>
      <c r="D1682" s="8" t="s">
        <v>27</v>
      </c>
      <c r="E1682" s="8" t="s">
        <v>101</v>
      </c>
      <c r="G1682" s="8">
        <v>3778.0</v>
      </c>
      <c r="H1682" s="8" t="s">
        <v>45</v>
      </c>
      <c r="K1682" s="8" t="s">
        <v>46</v>
      </c>
      <c r="L1682" s="8" t="s">
        <v>31</v>
      </c>
      <c r="M1682" s="8" t="s">
        <v>34</v>
      </c>
      <c r="P1682" s="9">
        <v>44136.0</v>
      </c>
      <c r="Q1682" s="10">
        <v>0.027777777781011537</v>
      </c>
      <c r="R1682" s="11" t="str">
        <f t="shared" si="1"/>
        <v>Настройка принтера Prim</v>
      </c>
      <c r="S1682" s="12" t="str">
        <f>iferror(VLOOKUP(C1682,'ФИО'!A:B,2,0),"учётный код не найден")</f>
        <v>Исаев Никита Дмитриевич</v>
      </c>
      <c r="T1682" s="13" t="str">
        <f t="shared" si="162"/>
        <v>ПУ 910-00349.A "Печатный узел основного блока E96 4LIN"</v>
      </c>
      <c r="U1682" s="8">
        <v>0.0</v>
      </c>
      <c r="V1682" s="8">
        <v>0.0</v>
      </c>
      <c r="X1682" s="14" t="str">
        <f t="shared" si="154"/>
        <v>Данные не заполены</v>
      </c>
      <c r="Y1682" s="15">
        <f t="shared" si="163"/>
        <v>0</v>
      </c>
    </row>
    <row r="1683" hidden="1">
      <c r="A1683" s="7">
        <v>44136.82546561342</v>
      </c>
      <c r="B1683" s="8" t="s">
        <v>26</v>
      </c>
      <c r="C1683" s="8">
        <v>21522.0</v>
      </c>
      <c r="D1683" s="8" t="s">
        <v>27</v>
      </c>
      <c r="E1683" s="8" t="s">
        <v>85</v>
      </c>
      <c r="G1683" s="8">
        <v>3778.0</v>
      </c>
      <c r="H1683" s="8" t="s">
        <v>45</v>
      </c>
      <c r="K1683" s="8" t="s">
        <v>46</v>
      </c>
      <c r="L1683" s="8" t="s">
        <v>31</v>
      </c>
      <c r="M1683" s="8" t="s">
        <v>34</v>
      </c>
      <c r="P1683" s="9">
        <v>44136.0</v>
      </c>
      <c r="Q1683" s="10">
        <v>0.013888888890505768</v>
      </c>
      <c r="R1683" s="11" t="str">
        <f t="shared" si="1"/>
        <v>Очистка трафаретного принтера</v>
      </c>
      <c r="S1683" s="12" t="str">
        <f>iferror(VLOOKUP(C1683,'ФИО'!A:B,2,0),"учётный код не найден")</f>
        <v>Исаев Никита Дмитриевич</v>
      </c>
      <c r="T1683" s="13" t="str">
        <f t="shared" si="162"/>
        <v>ПУ 910-00349.A "Печатный узел основного блока E96 4LIN"</v>
      </c>
      <c r="U1683" s="8">
        <v>0.0</v>
      </c>
      <c r="V1683" s="8">
        <v>0.0</v>
      </c>
      <c r="X1683" s="14" t="str">
        <f t="shared" si="154"/>
        <v>Данные не заполены</v>
      </c>
      <c r="Y1683" s="15">
        <f t="shared" si="163"/>
        <v>0</v>
      </c>
    </row>
    <row r="1684" hidden="1">
      <c r="A1684" s="7">
        <v>44136.82548201389</v>
      </c>
      <c r="B1684" s="8" t="s">
        <v>26</v>
      </c>
      <c r="C1684" s="8">
        <v>21522.0</v>
      </c>
      <c r="D1684" s="8" t="s">
        <v>27</v>
      </c>
      <c r="E1684" s="8" t="s">
        <v>57</v>
      </c>
      <c r="G1684" s="8">
        <v>3778.0</v>
      </c>
      <c r="H1684" s="8" t="s">
        <v>45</v>
      </c>
      <c r="K1684" s="8" t="s">
        <v>46</v>
      </c>
      <c r="L1684" s="8" t="s">
        <v>31</v>
      </c>
      <c r="M1684" s="8" t="s">
        <v>34</v>
      </c>
      <c r="P1684" s="9">
        <v>44136.0</v>
      </c>
      <c r="Q1684" s="10">
        <v>0.04166666666424135</v>
      </c>
      <c r="R1684" s="11" t="str">
        <f t="shared" si="1"/>
        <v>Настройка линии Primary</v>
      </c>
      <c r="S1684" s="12" t="str">
        <f>iferror(VLOOKUP(C1684,'ФИО'!A:B,2,0),"учётный код не найден")</f>
        <v>Исаев Никита Дмитриевич</v>
      </c>
      <c r="T1684" s="13" t="str">
        <f t="shared" si="162"/>
        <v>ПУ 910-00349.A "Печатный узел основного блока E96 4LIN"</v>
      </c>
      <c r="U1684" s="8">
        <v>0.0</v>
      </c>
      <c r="V1684" s="8">
        <v>0.0</v>
      </c>
      <c r="X1684" s="14" t="str">
        <f t="shared" si="154"/>
        <v>Данные не заполены</v>
      </c>
      <c r="Y1684" s="15">
        <f t="shared" si="163"/>
        <v>0</v>
      </c>
    </row>
    <row r="1685" hidden="1">
      <c r="A1685" s="7">
        <v>44136.8254979051</v>
      </c>
      <c r="B1685" s="8" t="s">
        <v>26</v>
      </c>
      <c r="C1685" s="8">
        <v>21522.0</v>
      </c>
      <c r="D1685" s="8" t="s">
        <v>27</v>
      </c>
      <c r="E1685" s="8" t="s">
        <v>67</v>
      </c>
      <c r="G1685" s="8">
        <v>3778.0</v>
      </c>
      <c r="H1685" s="8" t="s">
        <v>45</v>
      </c>
      <c r="K1685" s="8" t="s">
        <v>46</v>
      </c>
      <c r="L1685" s="8" t="s">
        <v>37</v>
      </c>
      <c r="P1685" s="9">
        <v>44136.0</v>
      </c>
      <c r="Q1685" s="10">
        <v>0.375</v>
      </c>
      <c r="R1685" s="11" t="str">
        <f t="shared" si="1"/>
        <v>Сборка на линии Prim</v>
      </c>
      <c r="S1685" s="12" t="str">
        <f>iferror(VLOOKUP(C1685,'ФИО'!A:B,2,0),"учётный код не найден")</f>
        <v>Исаев Никита Дмитриевич</v>
      </c>
      <c r="T1685" s="13" t="str">
        <f t="shared" si="162"/>
        <v>ПУ 910-00349.A "Печатный узел основного блока E96 4LIN"</v>
      </c>
      <c r="U1685" s="8">
        <v>0.0</v>
      </c>
      <c r="V1685" s="8">
        <v>0.0</v>
      </c>
      <c r="X1685" s="14" t="str">
        <f t="shared" si="154"/>
        <v>Данные не заполены</v>
      </c>
      <c r="Y1685" s="15">
        <f t="shared" si="163"/>
        <v>0</v>
      </c>
    </row>
    <row r="1686" hidden="1">
      <c r="A1686" s="7">
        <v>44136.825865949075</v>
      </c>
      <c r="B1686" s="8" t="s">
        <v>26</v>
      </c>
      <c r="C1686" s="8">
        <v>20015.0</v>
      </c>
      <c r="D1686" s="8" t="s">
        <v>69</v>
      </c>
      <c r="F1686" s="8" t="s">
        <v>72</v>
      </c>
      <c r="G1686" s="8">
        <v>3793.0</v>
      </c>
      <c r="H1686" s="8" t="s">
        <v>29</v>
      </c>
      <c r="I1686" s="8" t="s">
        <v>163</v>
      </c>
      <c r="L1686" s="8" t="s">
        <v>37</v>
      </c>
      <c r="P1686" s="9">
        <v>44136.0</v>
      </c>
      <c r="Q1686" s="10">
        <v>0.10416666666424135</v>
      </c>
      <c r="R1686" s="11" t="str">
        <f t="shared" si="1"/>
        <v>Пайка компонентов PRI</v>
      </c>
      <c r="S1686" s="12" t="str">
        <f>iferror(VLOOKUP(C1686,'ФИО'!A:B,2,0),"учётный код не найден")</f>
        <v>Ельцов Андрей Николаевич</v>
      </c>
      <c r="T1686" s="13" t="str">
        <f t="shared" si="162"/>
        <v>915-00068.A - uklsip(s)220_v3.01 (Гефест)</v>
      </c>
      <c r="U1686" s="8">
        <v>546.0</v>
      </c>
      <c r="V1686" s="8">
        <v>0.0</v>
      </c>
      <c r="X1686" s="14" t="str">
        <f t="shared" si="154"/>
        <v>Данные не заполены</v>
      </c>
      <c r="Y1686" s="15">
        <f t="shared" si="163"/>
        <v>0</v>
      </c>
    </row>
    <row r="1687" hidden="1">
      <c r="A1687" s="7">
        <v>44136.8262940162</v>
      </c>
      <c r="B1687" s="8" t="s">
        <v>26</v>
      </c>
      <c r="C1687" s="8">
        <v>20015.0</v>
      </c>
      <c r="D1687" s="8" t="s">
        <v>69</v>
      </c>
      <c r="F1687" s="8" t="s">
        <v>103</v>
      </c>
      <c r="G1687" s="8">
        <v>3793.0</v>
      </c>
      <c r="H1687" s="8" t="s">
        <v>29</v>
      </c>
      <c r="I1687" s="8" t="s">
        <v>163</v>
      </c>
      <c r="L1687" s="8" t="s">
        <v>37</v>
      </c>
      <c r="P1687" s="9">
        <v>44136.0</v>
      </c>
      <c r="Q1687" s="10">
        <v>0.10416666666424135</v>
      </c>
      <c r="R1687" s="11" t="str">
        <f t="shared" si="1"/>
        <v>Проверка на АОИ PRI</v>
      </c>
      <c r="S1687" s="12" t="str">
        <f>iferror(VLOOKUP(C1687,'ФИО'!A:B,2,0),"учётный код не найден")</f>
        <v>Ельцов Андрей Николаевич</v>
      </c>
      <c r="T1687" s="13" t="str">
        <f t="shared" si="162"/>
        <v>915-00068.A - uklsip(s)220_v3.01 (Гефест)</v>
      </c>
      <c r="U1687" s="8">
        <v>546.0</v>
      </c>
      <c r="V1687" s="8">
        <v>0.0</v>
      </c>
      <c r="X1687" s="14" t="str">
        <f t="shared" si="154"/>
        <v>Данные не заполены</v>
      </c>
      <c r="Y1687" s="15">
        <f t="shared" si="163"/>
        <v>0</v>
      </c>
    </row>
    <row r="1688" hidden="1">
      <c r="A1688" s="7">
        <v>44136.827429537036</v>
      </c>
      <c r="B1688" s="8" t="s">
        <v>38</v>
      </c>
      <c r="C1688" s="8">
        <v>21752.0</v>
      </c>
      <c r="D1688" s="8" t="s">
        <v>27</v>
      </c>
      <c r="E1688" s="8" t="s">
        <v>51</v>
      </c>
      <c r="G1688" s="8">
        <v>3804.0</v>
      </c>
      <c r="H1688" s="8" t="s">
        <v>45</v>
      </c>
      <c r="K1688" s="8" t="s">
        <v>52</v>
      </c>
      <c r="L1688" s="8" t="s">
        <v>37</v>
      </c>
      <c r="P1688" s="9">
        <v>44136.0</v>
      </c>
      <c r="Q1688" s="10">
        <v>0.04166666666424135</v>
      </c>
      <c r="R1688" s="11" t="str">
        <f t="shared" si="1"/>
        <v>Внутрисхемное тестирование ICT</v>
      </c>
      <c r="S1688" s="12" t="str">
        <f>iferror(VLOOKUP(C1688,'ФИО'!A:B,2,0),"учётный код не найден")</f>
        <v>Егоров Александр Александрович</v>
      </c>
      <c r="T1688" s="13" t="str">
        <f t="shared" si="162"/>
        <v>М17V2 (900-00018.D)_910-00023.H и ПУ 910-00012.I</v>
      </c>
      <c r="U1688" s="8">
        <v>34.0</v>
      </c>
      <c r="V1688" s="8">
        <v>0.0</v>
      </c>
      <c r="X1688" s="14" t="str">
        <f t="shared" si="154"/>
        <v>Данные не заполены</v>
      </c>
      <c r="Y1688" s="15">
        <f t="shared" si="163"/>
        <v>0</v>
      </c>
    </row>
    <row r="1689" hidden="1">
      <c r="A1689" s="7">
        <v>44136.82785799769</v>
      </c>
      <c r="B1689" s="8" t="s">
        <v>26</v>
      </c>
      <c r="C1689" s="8">
        <v>21475.0</v>
      </c>
      <c r="D1689" s="8" t="s">
        <v>27</v>
      </c>
      <c r="E1689" s="8" t="s">
        <v>244</v>
      </c>
      <c r="G1689" s="8">
        <v>3802.0</v>
      </c>
      <c r="H1689" s="8" t="s">
        <v>45</v>
      </c>
      <c r="K1689" s="8" t="s">
        <v>120</v>
      </c>
      <c r="L1689" s="8" t="s">
        <v>37</v>
      </c>
      <c r="P1689" s="9">
        <v>44136.0</v>
      </c>
      <c r="Q1689" s="10">
        <v>0.20833333333575865</v>
      </c>
      <c r="R1689" s="11" t="str">
        <f t="shared" si="1"/>
        <v>ReviewStation sec</v>
      </c>
      <c r="S1689" s="12" t="str">
        <f>iferror(VLOOKUP(C1689,'ФИО'!A:B,2,0),"учётный код не найден")</f>
        <v>Байрамашвили Альберт Зурабович</v>
      </c>
      <c r="T1689" s="13" t="str">
        <f t="shared" si="162"/>
        <v>М15ECO (900-00030.С) 910-00034.C/910-00041.C</v>
      </c>
      <c r="U1689" s="8">
        <v>581.0</v>
      </c>
      <c r="V1689" s="8">
        <v>489.0</v>
      </c>
      <c r="X1689" s="14" t="str">
        <f t="shared" si="154"/>
        <v>Данные не заполены</v>
      </c>
      <c r="Y1689" s="15">
        <f t="shared" si="163"/>
        <v>0.8416523236</v>
      </c>
    </row>
    <row r="1690" hidden="1">
      <c r="A1690" s="7">
        <v>44136.82795578704</v>
      </c>
      <c r="B1690" s="8" t="s">
        <v>26</v>
      </c>
      <c r="C1690" s="8">
        <v>21752.0</v>
      </c>
      <c r="D1690" s="8" t="s">
        <v>27</v>
      </c>
      <c r="E1690" s="8" t="s">
        <v>67</v>
      </c>
      <c r="G1690" s="8">
        <v>3778.0</v>
      </c>
      <c r="H1690" s="8" t="s">
        <v>45</v>
      </c>
      <c r="K1690" s="8" t="s">
        <v>46</v>
      </c>
      <c r="L1690" s="8" t="s">
        <v>37</v>
      </c>
      <c r="P1690" s="9">
        <v>44136.0</v>
      </c>
      <c r="Q1690" s="10">
        <v>0.25</v>
      </c>
      <c r="R1690" s="11" t="str">
        <f t="shared" si="1"/>
        <v>Сборка на линии Prim</v>
      </c>
      <c r="S1690" s="12" t="str">
        <f>iferror(VLOOKUP(C1690,'ФИО'!A:B,2,0),"учётный код не найден")</f>
        <v>Егоров Александр Александрович</v>
      </c>
      <c r="T1690" s="13" t="str">
        <f t="shared" si="162"/>
        <v>ПУ 910-00349.A "Печатный узел основного блока E96 4LIN"</v>
      </c>
      <c r="U1690" s="8">
        <v>0.0</v>
      </c>
      <c r="V1690" s="8">
        <v>0.0</v>
      </c>
      <c r="X1690" s="14" t="str">
        <f t="shared" si="154"/>
        <v>Данные не заполены</v>
      </c>
      <c r="Y1690" s="15">
        <f t="shared" si="163"/>
        <v>0</v>
      </c>
    </row>
    <row r="1691" hidden="1">
      <c r="A1691" s="7">
        <v>44136.8289263426</v>
      </c>
      <c r="B1691" s="8" t="s">
        <v>26</v>
      </c>
      <c r="C1691" s="8">
        <v>21475.0</v>
      </c>
      <c r="D1691" s="8" t="s">
        <v>27</v>
      </c>
      <c r="E1691" s="8" t="s">
        <v>67</v>
      </c>
      <c r="G1691" s="8">
        <v>3778.0</v>
      </c>
      <c r="H1691" s="8" t="s">
        <v>45</v>
      </c>
      <c r="K1691" s="8" t="s">
        <v>46</v>
      </c>
      <c r="L1691" s="8" t="s">
        <v>37</v>
      </c>
      <c r="P1691" s="9">
        <v>44136.0</v>
      </c>
      <c r="Q1691" s="10">
        <v>0.25</v>
      </c>
      <c r="R1691" s="11" t="str">
        <f t="shared" si="1"/>
        <v>Сборка на линии Prim</v>
      </c>
      <c r="S1691" s="12" t="str">
        <f>iferror(VLOOKUP(C1691,'ФИО'!A:B,2,0),"учётный код не найден")</f>
        <v>Байрамашвили Альберт Зурабович</v>
      </c>
      <c r="T1691" s="13" t="str">
        <f t="shared" si="162"/>
        <v>ПУ 910-00349.A "Печатный узел основного блока E96 4LIN"</v>
      </c>
      <c r="U1691" s="8">
        <v>0.0</v>
      </c>
      <c r="V1691" s="8">
        <v>0.0</v>
      </c>
      <c r="X1691" s="14" t="str">
        <f t="shared" si="154"/>
        <v>Данные не заполены</v>
      </c>
      <c r="Y1691" s="15">
        <f t="shared" si="163"/>
        <v>0</v>
      </c>
    </row>
    <row r="1692" hidden="1">
      <c r="A1692" s="7">
        <v>44136.82914579861</v>
      </c>
      <c r="B1692" s="8" t="s">
        <v>26</v>
      </c>
      <c r="C1692" s="8">
        <v>21752.0</v>
      </c>
      <c r="D1692" s="8" t="s">
        <v>27</v>
      </c>
      <c r="E1692" s="8" t="s">
        <v>97</v>
      </c>
      <c r="G1692" s="8">
        <v>3778.0</v>
      </c>
      <c r="H1692" s="8" t="s">
        <v>45</v>
      </c>
      <c r="K1692" s="8" t="s">
        <v>46</v>
      </c>
      <c r="L1692" s="8" t="s">
        <v>37</v>
      </c>
      <c r="P1692" s="9">
        <v>44136.0</v>
      </c>
      <c r="Q1692" s="10">
        <v>0.10416666666424135</v>
      </c>
      <c r="R1692" s="11" t="str">
        <f t="shared" si="1"/>
        <v>Проверка плат на АОИ Prim</v>
      </c>
      <c r="S1692" s="12" t="str">
        <f>iferror(VLOOKUP(C1692,'ФИО'!A:B,2,0),"учётный код не найден")</f>
        <v>Егоров Александр Александрович</v>
      </c>
      <c r="T1692" s="13" t="str">
        <f t="shared" si="162"/>
        <v>ПУ 910-00349.A "Печатный узел основного блока E96 4LIN"</v>
      </c>
      <c r="U1692" s="8">
        <v>161.0</v>
      </c>
      <c r="V1692" s="8">
        <v>62.0</v>
      </c>
      <c r="X1692" s="14" t="str">
        <f t="shared" si="154"/>
        <v>Данные не заполены</v>
      </c>
      <c r="Y1692" s="15">
        <f t="shared" si="163"/>
        <v>0.3850931677</v>
      </c>
      <c r="Z1692" s="8" t="s">
        <v>325</v>
      </c>
    </row>
    <row r="1693" hidden="1">
      <c r="A1693" s="7">
        <v>44136.829626736115</v>
      </c>
      <c r="B1693" s="8" t="s">
        <v>26</v>
      </c>
      <c r="C1693" s="8">
        <v>21752.0</v>
      </c>
      <c r="D1693" s="8" t="s">
        <v>27</v>
      </c>
      <c r="E1693" s="8" t="s">
        <v>62</v>
      </c>
      <c r="G1693" s="8">
        <v>3802.0</v>
      </c>
      <c r="H1693" s="8" t="s">
        <v>45</v>
      </c>
      <c r="K1693" s="8" t="s">
        <v>46</v>
      </c>
      <c r="L1693" s="8" t="s">
        <v>37</v>
      </c>
      <c r="P1693" s="9">
        <v>44136.0</v>
      </c>
      <c r="Q1693" s="10">
        <v>0.0625</v>
      </c>
      <c r="R1693" s="11" t="str">
        <f t="shared" si="1"/>
        <v>ReviewStation pri</v>
      </c>
      <c r="S1693" s="12" t="str">
        <f>iferror(VLOOKUP(C1693,'ФИО'!A:B,2,0),"учётный код не найден")</f>
        <v>Егоров Александр Александрович</v>
      </c>
      <c r="T1693" s="13" t="str">
        <f t="shared" si="162"/>
        <v>ПУ 910-00349.A "Печатный узел основного блока E96 4LIN"</v>
      </c>
      <c r="U1693" s="8">
        <v>1247.0</v>
      </c>
      <c r="V1693" s="8">
        <v>253.0</v>
      </c>
      <c r="X1693" s="14" t="str">
        <f t="shared" si="154"/>
        <v>Данные не заполены</v>
      </c>
      <c r="Y1693" s="15">
        <f t="shared" si="163"/>
        <v>0.2028869286</v>
      </c>
    </row>
    <row r="1694" hidden="1">
      <c r="A1694" s="7">
        <v>44136.8352346412</v>
      </c>
      <c r="B1694" s="8" t="s">
        <v>26</v>
      </c>
      <c r="C1694" s="8">
        <v>22087.0</v>
      </c>
      <c r="D1694" s="8" t="s">
        <v>27</v>
      </c>
      <c r="E1694" s="8" t="s">
        <v>179</v>
      </c>
      <c r="G1694" s="8">
        <v>3778.0</v>
      </c>
      <c r="H1694" s="8" t="s">
        <v>45</v>
      </c>
      <c r="K1694" s="8" t="s">
        <v>46</v>
      </c>
      <c r="L1694" s="8" t="s">
        <v>31</v>
      </c>
      <c r="M1694" s="8" t="s">
        <v>34</v>
      </c>
      <c r="P1694" s="9">
        <v>44136.0</v>
      </c>
      <c r="Q1694" s="10">
        <v>0.08333333333575865</v>
      </c>
      <c r="R1694" s="11" t="str">
        <f t="shared" si="1"/>
        <v>Отладка программы на AOI PRI</v>
      </c>
      <c r="S1694" s="12" t="str">
        <f>iferror(VLOOKUP(C1694,'ФИО'!A:B,2,0),"учётный код не найден")</f>
        <v>Хохряков Илья Александрович</v>
      </c>
      <c r="T1694" s="13" t="str">
        <f t="shared" si="162"/>
        <v>ПУ 910-00349.A "Печатный узел основного блока E96 4LIN"</v>
      </c>
      <c r="U1694" s="8">
        <v>0.0</v>
      </c>
      <c r="V1694" s="8">
        <v>0.0</v>
      </c>
      <c r="X1694" s="14" t="str">
        <f t="shared" si="154"/>
        <v>Данные не заполены</v>
      </c>
      <c r="Y1694" s="15">
        <f t="shared" si="163"/>
        <v>0</v>
      </c>
    </row>
    <row r="1695" hidden="1">
      <c r="A1695" s="7">
        <v>44136.83793282407</v>
      </c>
      <c r="B1695" s="8" t="s">
        <v>26</v>
      </c>
      <c r="C1695" s="8">
        <v>50000.0</v>
      </c>
      <c r="D1695" s="8" t="s">
        <v>27</v>
      </c>
      <c r="E1695" s="8" t="s">
        <v>67</v>
      </c>
      <c r="G1695" s="8">
        <v>3778.0</v>
      </c>
      <c r="H1695" s="8" t="s">
        <v>45</v>
      </c>
      <c r="K1695" s="8" t="s">
        <v>46</v>
      </c>
      <c r="L1695" s="8" t="s">
        <v>37</v>
      </c>
      <c r="P1695" s="9">
        <v>44136.0</v>
      </c>
      <c r="Q1695" s="10">
        <v>0.23472222222335404</v>
      </c>
      <c r="R1695" s="11" t="str">
        <f t="shared" si="1"/>
        <v>Сборка на линии Prim</v>
      </c>
      <c r="S1695" s="12" t="str">
        <f>iferror(VLOOKUP(C1695,'ФИО'!A:B,2,0),"учётный код не найден")</f>
        <v>SMT</v>
      </c>
      <c r="T1695" s="13" t="str">
        <f t="shared" si="162"/>
        <v>ПУ 910-00349.A "Печатный узел основного блока E96 4LIN"</v>
      </c>
      <c r="U1695" s="8">
        <v>556.0</v>
      </c>
      <c r="V1695" s="8">
        <v>0.0</v>
      </c>
      <c r="W1695" s="8">
        <v>2264.0</v>
      </c>
      <c r="X1695" s="14">
        <f t="shared" si="154"/>
        <v>0.4795408451</v>
      </c>
      <c r="Y1695" s="15">
        <f t="shared" si="163"/>
        <v>0</v>
      </c>
      <c r="Z1695" s="8" t="s">
        <v>326</v>
      </c>
    </row>
    <row r="1696" hidden="1">
      <c r="A1696" s="7">
        <v>44136.83846756944</v>
      </c>
      <c r="B1696" s="8" t="s">
        <v>26</v>
      </c>
      <c r="C1696" s="8">
        <v>22087.0</v>
      </c>
      <c r="D1696" s="8" t="s">
        <v>27</v>
      </c>
      <c r="E1696" s="8" t="s">
        <v>97</v>
      </c>
      <c r="G1696" s="8">
        <v>3778.0</v>
      </c>
      <c r="H1696" s="8" t="s">
        <v>45</v>
      </c>
      <c r="K1696" s="8" t="s">
        <v>46</v>
      </c>
      <c r="L1696" s="8" t="s">
        <v>37</v>
      </c>
      <c r="P1696" s="9">
        <v>44136.0</v>
      </c>
      <c r="Q1696" s="10">
        <v>0.20833333333575865</v>
      </c>
      <c r="R1696" s="11" t="str">
        <f t="shared" si="1"/>
        <v>Проверка плат на АОИ Prim</v>
      </c>
      <c r="S1696" s="12" t="str">
        <f>iferror(VLOOKUP(C1696,'ФИО'!A:B,2,0),"учётный код не найден")</f>
        <v>Хохряков Илья Александрович</v>
      </c>
      <c r="T1696" s="13" t="str">
        <f t="shared" si="162"/>
        <v>ПУ 910-00349.A "Печатный узел основного блока E96 4LIN"</v>
      </c>
      <c r="U1696" s="8">
        <v>272.0</v>
      </c>
      <c r="V1696" s="8">
        <v>40.0</v>
      </c>
      <c r="X1696" s="14" t="str">
        <f t="shared" si="154"/>
        <v>Данные не заполены</v>
      </c>
      <c r="Y1696" s="15">
        <f t="shared" si="163"/>
        <v>0.1470588235</v>
      </c>
      <c r="Z1696" s="8" t="s">
        <v>325</v>
      </c>
    </row>
    <row r="1697" hidden="1">
      <c r="A1697" s="7">
        <v>44136.83871804398</v>
      </c>
      <c r="B1697" s="8" t="s">
        <v>26</v>
      </c>
      <c r="C1697" s="8">
        <v>22087.0</v>
      </c>
      <c r="D1697" s="8" t="s">
        <v>27</v>
      </c>
      <c r="E1697" s="8" t="s">
        <v>48</v>
      </c>
      <c r="L1697" s="8" t="s">
        <v>31</v>
      </c>
      <c r="M1697" s="8" t="s">
        <v>34</v>
      </c>
      <c r="P1697" s="9">
        <v>44136.0</v>
      </c>
      <c r="Q1697" s="10">
        <v>0.04166666666424135</v>
      </c>
      <c r="R1697" s="11" t="str">
        <f t="shared" si="1"/>
        <v>Выполнение организационных работ</v>
      </c>
      <c r="S1697" s="12" t="str">
        <f>iferror(VLOOKUP(C1697,'ФИО'!A:B,2,0),"учётный код не найден")</f>
        <v>Хохряков Илья Александрович</v>
      </c>
      <c r="T1697" s="13" t="str">
        <f t="shared" si="162"/>
        <v/>
      </c>
      <c r="X1697" s="14" t="str">
        <f t="shared" si="154"/>
        <v>Данные не заполены</v>
      </c>
      <c r="Y1697" s="15">
        <f t="shared" si="163"/>
        <v>0</v>
      </c>
    </row>
    <row r="1698" hidden="1">
      <c r="A1698" s="7">
        <v>44136.83909715278</v>
      </c>
      <c r="B1698" s="8" t="s">
        <v>26</v>
      </c>
      <c r="C1698" s="8">
        <v>22087.0</v>
      </c>
      <c r="D1698" s="8" t="s">
        <v>27</v>
      </c>
      <c r="E1698" s="8" t="s">
        <v>67</v>
      </c>
      <c r="G1698" s="8">
        <v>3778.0</v>
      </c>
      <c r="H1698" s="8" t="s">
        <v>45</v>
      </c>
      <c r="K1698" s="8" t="s">
        <v>46</v>
      </c>
      <c r="L1698" s="8" t="s">
        <v>37</v>
      </c>
      <c r="P1698" s="9">
        <v>44136.0</v>
      </c>
      <c r="Q1698" s="10">
        <v>0.125</v>
      </c>
      <c r="R1698" s="11" t="str">
        <f t="shared" si="1"/>
        <v>Сборка на линии Prim</v>
      </c>
      <c r="S1698" s="12" t="str">
        <f>iferror(VLOOKUP(C1698,'ФИО'!A:B,2,0),"учётный код не найден")</f>
        <v>Хохряков Илья Александрович</v>
      </c>
      <c r="T1698" s="13" t="str">
        <f t="shared" si="162"/>
        <v>ПУ 910-00349.A "Печатный узел основного блока E96 4LIN"</v>
      </c>
      <c r="U1698" s="8">
        <v>0.0</v>
      </c>
      <c r="V1698" s="8">
        <v>0.0</v>
      </c>
      <c r="X1698" s="14" t="str">
        <f t="shared" si="154"/>
        <v>Данные не заполены</v>
      </c>
      <c r="Y1698" s="15">
        <f t="shared" si="163"/>
        <v>0</v>
      </c>
    </row>
    <row r="1699" hidden="1">
      <c r="A1699" s="7">
        <v>44136.83999487269</v>
      </c>
      <c r="B1699" s="8" t="s">
        <v>26</v>
      </c>
      <c r="C1699" s="8">
        <v>60000.0</v>
      </c>
      <c r="D1699" s="8" t="s">
        <v>69</v>
      </c>
      <c r="F1699" s="8" t="s">
        <v>72</v>
      </c>
      <c r="G1699" s="8">
        <v>3793.0</v>
      </c>
      <c r="H1699" s="8" t="s">
        <v>29</v>
      </c>
      <c r="I1699" s="8" t="s">
        <v>163</v>
      </c>
      <c r="L1699" s="8" t="s">
        <v>37</v>
      </c>
      <c r="P1699" s="9">
        <v>44136.0</v>
      </c>
      <c r="Q1699" s="10">
        <v>0.33333333333575865</v>
      </c>
      <c r="R1699" s="11" t="str">
        <f t="shared" si="1"/>
        <v>Пайка компонентов PRI</v>
      </c>
      <c r="S1699" s="12" t="str">
        <f>iferror(VLOOKUP(C1699,'ФИО'!A:B,2,0),"учётный код не найден")</f>
        <v>THT</v>
      </c>
      <c r="T1699" s="13" t="str">
        <f t="shared" si="162"/>
        <v>915-00068.A - uklsip(s)220_v3.01 (Гефест)</v>
      </c>
      <c r="U1699" s="8">
        <v>546.0</v>
      </c>
      <c r="V1699" s="8">
        <v>0.0</v>
      </c>
      <c r="W1699" s="8">
        <v>976.0</v>
      </c>
      <c r="X1699" s="14">
        <f t="shared" si="154"/>
        <v>0.7692110656</v>
      </c>
      <c r="Y1699" s="15">
        <f t="shared" si="163"/>
        <v>0</v>
      </c>
      <c r="Z1699" s="8" t="s">
        <v>327</v>
      </c>
    </row>
    <row r="1700" hidden="1">
      <c r="A1700" s="7">
        <v>44132.81568140046</v>
      </c>
      <c r="B1700" s="8" t="s">
        <v>127</v>
      </c>
      <c r="C1700" s="8">
        <v>22063.0</v>
      </c>
      <c r="D1700" s="8" t="s">
        <v>27</v>
      </c>
      <c r="E1700" s="8" t="s">
        <v>68</v>
      </c>
      <c r="L1700" s="8" t="s">
        <v>31</v>
      </c>
      <c r="M1700" s="8" t="s">
        <v>34</v>
      </c>
      <c r="P1700" s="9">
        <v>44132.0</v>
      </c>
      <c r="Q1700" s="10">
        <v>0.08333333333575865</v>
      </c>
      <c r="R1700" s="11" t="str">
        <f t="shared" si="1"/>
        <v>Прохождение обучения</v>
      </c>
      <c r="S1700" s="16" t="str">
        <f>iferror(VLOOKUP(C1700,'ФИО'!A:B,2,0),"учётный код не найден")</f>
        <v>Белоглазов Сергей Анатольевич</v>
      </c>
      <c r="T1700" s="11" t="str">
        <f t="shared" si="162"/>
        <v/>
      </c>
      <c r="W1700" s="17" t="str">
        <f t="shared" ref="W1700:W1709" si="166">IFERROR((((38412/(ifs(O1700&lt;35,35,O1700&gt;34,O1700)/N1700)*0.7))),"Данные не заполены")</f>
        <v>Данные не заполены</v>
      </c>
      <c r="X1700" s="14" t="str">
        <f t="shared" si="154"/>
        <v>Данные не заполены</v>
      </c>
      <c r="Y1700" s="15">
        <f t="shared" si="163"/>
        <v>0</v>
      </c>
    </row>
    <row r="1701" hidden="1">
      <c r="A1701" s="7">
        <v>44124.82241113426</v>
      </c>
      <c r="B1701" s="8" t="s">
        <v>127</v>
      </c>
      <c r="C1701" s="8">
        <v>22063.0</v>
      </c>
      <c r="D1701" s="8" t="s">
        <v>27</v>
      </c>
      <c r="E1701" s="8" t="s">
        <v>67</v>
      </c>
      <c r="G1701" s="8">
        <v>3804.0</v>
      </c>
      <c r="H1701" s="8" t="s">
        <v>45</v>
      </c>
      <c r="K1701" s="8" t="s">
        <v>52</v>
      </c>
      <c r="L1701" s="8" t="s">
        <v>37</v>
      </c>
      <c r="P1701" s="9">
        <v>44124.0</v>
      </c>
      <c r="Q1701" s="10">
        <v>0.0625</v>
      </c>
      <c r="R1701" s="11" t="str">
        <f t="shared" si="1"/>
        <v>Сборка на линии Prim</v>
      </c>
      <c r="S1701" s="16" t="str">
        <f>iferror(VLOOKUP(C1701,'ФИО'!A:B,2,0),"учётный код не найден")</f>
        <v>Белоглазов Сергей Анатольевич</v>
      </c>
      <c r="T1701" s="11" t="str">
        <f t="shared" si="162"/>
        <v>М17V2 (900-00018.D)_910-00023.H и ПУ 910-00012.I</v>
      </c>
      <c r="U1701" s="8">
        <v>0.0</v>
      </c>
      <c r="V1701" s="8">
        <v>0.0</v>
      </c>
      <c r="W1701" s="17" t="str">
        <f t="shared" si="166"/>
        <v>Данные не заполены</v>
      </c>
      <c r="X1701" s="14" t="str">
        <f t="shared" si="154"/>
        <v>Данные не заполены</v>
      </c>
      <c r="Y1701" s="15">
        <f t="shared" si="163"/>
        <v>0</v>
      </c>
    </row>
    <row r="1702" hidden="1">
      <c r="A1702" s="7">
        <v>44109.81786251157</v>
      </c>
      <c r="B1702" s="8" t="s">
        <v>127</v>
      </c>
      <c r="C1702" s="8">
        <v>22063.0</v>
      </c>
      <c r="D1702" s="8" t="s">
        <v>27</v>
      </c>
      <c r="E1702" s="8" t="s">
        <v>67</v>
      </c>
      <c r="G1702" s="8">
        <v>3726.0</v>
      </c>
      <c r="H1702" s="8" t="s">
        <v>45</v>
      </c>
      <c r="K1702" s="8" t="s">
        <v>58</v>
      </c>
      <c r="L1702" s="8" t="s">
        <v>37</v>
      </c>
      <c r="P1702" s="9">
        <v>44109.0</v>
      </c>
      <c r="Q1702" s="10">
        <v>0.27083333333575865</v>
      </c>
      <c r="R1702" s="11" t="str">
        <f t="shared" si="1"/>
        <v>Сборка на линии Prim</v>
      </c>
      <c r="S1702" s="16" t="str">
        <f>iferror(VLOOKUP(C1702,'ФИО'!A:B,2,0),"учётный код не найден")</f>
        <v>Белоглазов Сергей Анатольевич</v>
      </c>
      <c r="T1702" s="11" t="str">
        <f t="shared" si="162"/>
        <v>ПУ метки i95</v>
      </c>
      <c r="U1702" s="8">
        <v>0.0</v>
      </c>
      <c r="V1702" s="8">
        <v>0.0</v>
      </c>
      <c r="W1702" s="21" t="str">
        <f t="shared" si="166"/>
        <v>Данные не заполены</v>
      </c>
      <c r="X1702" s="15" t="str">
        <f t="shared" si="154"/>
        <v>Данные не заполены</v>
      </c>
      <c r="Y1702" s="15">
        <f t="shared" si="163"/>
        <v>0</v>
      </c>
    </row>
    <row r="1703" hidden="1">
      <c r="A1703" s="7">
        <v>44117.821125648145</v>
      </c>
      <c r="B1703" s="8" t="s">
        <v>127</v>
      </c>
      <c r="C1703" s="8">
        <v>22063.0</v>
      </c>
      <c r="D1703" s="8" t="s">
        <v>27</v>
      </c>
      <c r="E1703" s="8" t="s">
        <v>67</v>
      </c>
      <c r="G1703" s="8">
        <v>3622.0</v>
      </c>
      <c r="H1703" s="8" t="s">
        <v>29</v>
      </c>
      <c r="I1703" s="8" t="s">
        <v>90</v>
      </c>
      <c r="L1703" s="8" t="s">
        <v>37</v>
      </c>
      <c r="P1703" s="9">
        <v>44117.0</v>
      </c>
      <c r="Q1703" s="10">
        <v>0.125</v>
      </c>
      <c r="R1703" s="11" t="str">
        <f t="shared" si="1"/>
        <v>Сборка на линии Prim</v>
      </c>
      <c r="S1703" s="16" t="str">
        <f>iferror(VLOOKUP(C1703,'ФИО'!A:B,2,0),"учётный код не найден")</f>
        <v>Белоглазов Сергей Анатольевич</v>
      </c>
      <c r="T1703" s="11" t="str">
        <f t="shared" si="162"/>
        <v>915-00124.A - Tioga Pass_v1.1 (Гагар.ин)</v>
      </c>
      <c r="U1703" s="8">
        <v>0.0</v>
      </c>
      <c r="V1703" s="8">
        <v>0.0</v>
      </c>
      <c r="W1703" s="17" t="str">
        <f t="shared" si="166"/>
        <v>Данные не заполены</v>
      </c>
      <c r="X1703" s="14" t="str">
        <f t="shared" si="154"/>
        <v>Данные не заполены</v>
      </c>
      <c r="Y1703" s="15">
        <f t="shared" si="163"/>
        <v>0</v>
      </c>
    </row>
    <row r="1704" hidden="1">
      <c r="A1704" s="7">
        <v>44125.82041534722</v>
      </c>
      <c r="B1704" s="8" t="s">
        <v>127</v>
      </c>
      <c r="C1704" s="8">
        <v>22063.0</v>
      </c>
      <c r="D1704" s="8" t="s">
        <v>27</v>
      </c>
      <c r="E1704" s="8" t="s">
        <v>67</v>
      </c>
      <c r="G1704" s="8">
        <v>3252.0</v>
      </c>
      <c r="H1704" s="8" t="s">
        <v>29</v>
      </c>
      <c r="I1704" s="8" t="s">
        <v>95</v>
      </c>
      <c r="L1704" s="8" t="s">
        <v>37</v>
      </c>
      <c r="P1704" s="9">
        <v>44125.0</v>
      </c>
      <c r="Q1704" s="10">
        <v>0.41666666666424135</v>
      </c>
      <c r="R1704" s="11" t="str">
        <f t="shared" si="1"/>
        <v>Сборка на линии Prim</v>
      </c>
      <c r="S1704" s="16" t="str">
        <f>iferror(VLOOKUP(C1704,'ФИО'!A:B,2,0),"учётный код не найден")</f>
        <v>Белоглазов Сергей Анатольевич</v>
      </c>
      <c r="T1704" s="11" t="str">
        <f t="shared" si="162"/>
        <v>915-00095.A - ПКД-8В-1 АСЛБ.467249.108 (Квант)</v>
      </c>
      <c r="U1704" s="8">
        <v>0.0</v>
      </c>
      <c r="V1704" s="8">
        <v>0.0</v>
      </c>
      <c r="W1704" s="17" t="str">
        <f t="shared" si="166"/>
        <v>Данные не заполены</v>
      </c>
      <c r="X1704" s="14" t="str">
        <f t="shared" si="154"/>
        <v>Данные не заполены</v>
      </c>
      <c r="Y1704" s="15">
        <f t="shared" si="163"/>
        <v>0</v>
      </c>
    </row>
    <row r="1705" hidden="1">
      <c r="A1705" s="7">
        <v>44124.820223622686</v>
      </c>
      <c r="B1705" s="8" t="s">
        <v>127</v>
      </c>
      <c r="C1705" s="8">
        <v>22063.0</v>
      </c>
      <c r="D1705" s="8" t="s">
        <v>27</v>
      </c>
      <c r="E1705" s="8" t="s">
        <v>88</v>
      </c>
      <c r="G1705" s="8">
        <v>3754.0</v>
      </c>
      <c r="H1705" s="8" t="s">
        <v>45</v>
      </c>
      <c r="K1705" s="8" t="s">
        <v>124</v>
      </c>
      <c r="L1705" s="8" t="s">
        <v>37</v>
      </c>
      <c r="P1705" s="9">
        <v>44124.0</v>
      </c>
      <c r="Q1705" s="10">
        <v>0.29166666666424135</v>
      </c>
      <c r="R1705" s="11" t="str">
        <f t="shared" si="1"/>
        <v>Сборка на линии Sec</v>
      </c>
      <c r="S1705" s="16" t="str">
        <f>iferror(VLOOKUP(C1705,'ФИО'!A:B,2,0),"учётный код не найден")</f>
        <v>Белоглазов Сергей Анатольевич</v>
      </c>
      <c r="T1705" s="11" t="str">
        <f t="shared" si="162"/>
        <v>ПУ 910-00120.D - Печатный узел модуля 2CAN+LIN</v>
      </c>
      <c r="U1705" s="8">
        <v>0.0</v>
      </c>
      <c r="V1705" s="8">
        <v>0.0</v>
      </c>
      <c r="W1705" s="17" t="str">
        <f t="shared" si="166"/>
        <v>Данные не заполены</v>
      </c>
      <c r="X1705" s="14" t="str">
        <f t="shared" si="154"/>
        <v>Данные не заполены</v>
      </c>
      <c r="Y1705" s="15">
        <f t="shared" si="163"/>
        <v>0</v>
      </c>
    </row>
    <row r="1706" hidden="1">
      <c r="A1706" s="7">
        <v>44109.52666322917</v>
      </c>
      <c r="B1706" s="8" t="s">
        <v>127</v>
      </c>
      <c r="C1706" s="8">
        <v>22063.0</v>
      </c>
      <c r="D1706" s="8" t="s">
        <v>69</v>
      </c>
      <c r="F1706" s="8" t="s">
        <v>305</v>
      </c>
      <c r="G1706" s="8">
        <v>3232.0</v>
      </c>
      <c r="H1706" s="8" t="s">
        <v>29</v>
      </c>
      <c r="I1706" s="8" t="s">
        <v>60</v>
      </c>
      <c r="L1706" s="8" t="s">
        <v>37</v>
      </c>
      <c r="P1706" s="9">
        <v>44108.0</v>
      </c>
      <c r="Q1706" s="10">
        <v>0.010416666664241347</v>
      </c>
      <c r="R1706" s="11" t="str">
        <f t="shared" si="1"/>
        <v>Установка компонентов  на платы (ручная) SEC</v>
      </c>
      <c r="S1706" s="16" t="str">
        <f>iferror(VLOOKUP(C1706,'ФИО'!A:B,2,0),"учётный код не найден")</f>
        <v>Белоглазов Сергей Анатольевич</v>
      </c>
      <c r="T1706" s="11" t="s">
        <v>63</v>
      </c>
      <c r="U1706" s="8">
        <v>3.0</v>
      </c>
      <c r="V1706" s="8">
        <v>0.0</v>
      </c>
      <c r="W1706" s="21" t="str">
        <f t="shared" si="166"/>
        <v>Данные не заполены</v>
      </c>
      <c r="X1706" s="15" t="str">
        <f t="shared" si="154"/>
        <v>Данные не заполены</v>
      </c>
      <c r="Y1706" s="15">
        <f t="shared" si="163"/>
        <v>0</v>
      </c>
    </row>
    <row r="1707" hidden="1">
      <c r="A1707" s="7">
        <v>44137.319077175925</v>
      </c>
      <c r="B1707" s="8" t="s">
        <v>126</v>
      </c>
      <c r="C1707" s="8">
        <v>22063.0</v>
      </c>
      <c r="D1707" s="8" t="s">
        <v>69</v>
      </c>
      <c r="F1707" s="8" t="s">
        <v>106</v>
      </c>
      <c r="G1707" s="8">
        <v>3793.0</v>
      </c>
      <c r="H1707" s="8" t="s">
        <v>29</v>
      </c>
      <c r="I1707" s="8" t="s">
        <v>150</v>
      </c>
      <c r="L1707" s="8" t="s">
        <v>31</v>
      </c>
      <c r="M1707" s="8" t="s">
        <v>34</v>
      </c>
      <c r="P1707" s="9">
        <v>44136.0</v>
      </c>
      <c r="Q1707" s="10">
        <v>0.04166666666424135</v>
      </c>
      <c r="R1707" s="11" t="str">
        <f t="shared" si="1"/>
        <v>Настройка SEHO PRI</v>
      </c>
      <c r="S1707" s="16" t="str">
        <f>iferror(VLOOKUP(C1707,'ФИО'!A:B,2,0),"учётный код не найден")</f>
        <v>Белоглазов Сергей Анатольевич</v>
      </c>
      <c r="T1707" s="11" t="str">
        <f t="shared" ref="T1707:T1746" si="167">CONCATENATE(I1707,J1707,K1707)</f>
        <v>UKLSiP(S)220_v3.00</v>
      </c>
      <c r="U1707" s="8">
        <v>1.0</v>
      </c>
      <c r="V1707" s="8">
        <v>0.0</v>
      </c>
      <c r="W1707" s="17" t="str">
        <f t="shared" si="166"/>
        <v>Данные не заполены</v>
      </c>
      <c r="X1707" s="14" t="str">
        <f t="shared" si="154"/>
        <v>Данные не заполены</v>
      </c>
      <c r="Y1707" s="15">
        <f t="shared" si="163"/>
        <v>0</v>
      </c>
    </row>
    <row r="1708" hidden="1">
      <c r="A1708" s="7">
        <v>44137.32056951389</v>
      </c>
      <c r="B1708" s="8" t="s">
        <v>126</v>
      </c>
      <c r="C1708" s="8">
        <v>22063.0</v>
      </c>
      <c r="D1708" s="8" t="s">
        <v>69</v>
      </c>
      <c r="F1708" s="8" t="s">
        <v>72</v>
      </c>
      <c r="G1708" s="8">
        <v>3793.0</v>
      </c>
      <c r="H1708" s="8" t="s">
        <v>29</v>
      </c>
      <c r="I1708" s="8" t="s">
        <v>150</v>
      </c>
      <c r="L1708" s="8" t="s">
        <v>37</v>
      </c>
      <c r="P1708" s="9">
        <v>44136.0</v>
      </c>
      <c r="Q1708" s="10">
        <v>0.25</v>
      </c>
      <c r="R1708" s="11" t="str">
        <f t="shared" si="1"/>
        <v>Пайка компонентов PRI</v>
      </c>
      <c r="S1708" s="16" t="str">
        <f>iferror(VLOOKUP(C1708,'ФИО'!A:B,2,0),"учётный код не найден")</f>
        <v>Белоглазов Сергей Анатольевич</v>
      </c>
      <c r="T1708" s="11" t="str">
        <f t="shared" si="167"/>
        <v>UKLSiP(S)220_v3.00</v>
      </c>
      <c r="U1708" s="8">
        <v>560.0</v>
      </c>
      <c r="V1708" s="8">
        <v>28.0</v>
      </c>
      <c r="W1708" s="17" t="str">
        <f t="shared" si="166"/>
        <v>Данные не заполены</v>
      </c>
      <c r="X1708" s="14" t="str">
        <f t="shared" si="154"/>
        <v>Данные не заполены</v>
      </c>
      <c r="Y1708" s="15">
        <f t="shared" si="163"/>
        <v>0.05</v>
      </c>
    </row>
    <row r="1709" hidden="1">
      <c r="A1709" s="7">
        <v>44137.32317447917</v>
      </c>
      <c r="B1709" s="8" t="s">
        <v>126</v>
      </c>
      <c r="C1709" s="8">
        <v>22063.0</v>
      </c>
      <c r="D1709" s="8" t="s">
        <v>69</v>
      </c>
      <c r="F1709" s="8" t="s">
        <v>103</v>
      </c>
      <c r="G1709" s="8">
        <v>3793.0</v>
      </c>
      <c r="H1709" s="8" t="s">
        <v>29</v>
      </c>
      <c r="I1709" s="8" t="s">
        <v>150</v>
      </c>
      <c r="L1709" s="8" t="s">
        <v>37</v>
      </c>
      <c r="P1709" s="9">
        <v>44136.0</v>
      </c>
      <c r="Q1709" s="10">
        <v>0.16666666666424135</v>
      </c>
      <c r="R1709" s="11" t="str">
        <f t="shared" si="1"/>
        <v>Проверка на АОИ PRI</v>
      </c>
      <c r="S1709" s="16" t="str">
        <f>iferror(VLOOKUP(C1709,'ФИО'!A:B,2,0),"учётный код не найден")</f>
        <v>Белоглазов Сергей Анатольевич</v>
      </c>
      <c r="T1709" s="11" t="str">
        <f t="shared" si="167"/>
        <v>UKLSiP(S)220_v3.00</v>
      </c>
      <c r="U1709" s="8">
        <v>560.0</v>
      </c>
      <c r="V1709" s="8">
        <v>28.0</v>
      </c>
      <c r="W1709" s="17" t="str">
        <f t="shared" si="166"/>
        <v>Данные не заполены</v>
      </c>
      <c r="X1709" s="14" t="str">
        <f t="shared" si="154"/>
        <v>Данные не заполены</v>
      </c>
      <c r="Y1709" s="15">
        <f t="shared" si="163"/>
        <v>0.05</v>
      </c>
    </row>
    <row r="1710">
      <c r="A1710" s="7">
        <v>44137.82997684028</v>
      </c>
      <c r="B1710" s="8" t="s">
        <v>26</v>
      </c>
      <c r="C1710" s="8">
        <v>60000.0</v>
      </c>
      <c r="D1710" s="8" t="s">
        <v>69</v>
      </c>
      <c r="F1710" s="8" t="s">
        <v>72</v>
      </c>
      <c r="G1710" s="8">
        <v>3778.0</v>
      </c>
      <c r="H1710" s="8" t="s">
        <v>45</v>
      </c>
      <c r="K1710" s="8" t="s">
        <v>46</v>
      </c>
      <c r="L1710" s="8" t="s">
        <v>37</v>
      </c>
      <c r="P1710" s="9">
        <v>44137.0</v>
      </c>
      <c r="Q1710" s="10">
        <v>0.33333333333575865</v>
      </c>
      <c r="R1710" s="11" t="str">
        <f t="shared" si="1"/>
        <v>Пайка компонентов PRI</v>
      </c>
      <c r="S1710" s="16" t="str">
        <f>iferror(VLOOKUP(C1710,'ФИО'!A:B,2,0),"учётный код не найден")</f>
        <v>THT</v>
      </c>
      <c r="T1710" s="11" t="str">
        <f t="shared" si="167"/>
        <v>ПУ 910-00349.A "Печатный узел основного блока E96 4LIN"</v>
      </c>
      <c r="U1710" s="8">
        <v>1060.0</v>
      </c>
      <c r="V1710" s="8">
        <v>0.0</v>
      </c>
      <c r="W1710" s="8">
        <v>1802.0</v>
      </c>
      <c r="X1710" s="14">
        <f t="shared" si="154"/>
        <v>0.8088235294</v>
      </c>
      <c r="Y1710" s="15">
        <f t="shared" si="163"/>
        <v>0</v>
      </c>
      <c r="Z1710" s="8" t="s">
        <v>328</v>
      </c>
    </row>
    <row r="1711" hidden="1">
      <c r="A1711" s="7">
        <v>44137.83795168981</v>
      </c>
      <c r="B1711" s="8" t="s">
        <v>26</v>
      </c>
      <c r="C1711" s="8">
        <v>50000.0</v>
      </c>
      <c r="D1711" s="8" t="s">
        <v>27</v>
      </c>
      <c r="E1711" s="8" t="s">
        <v>57</v>
      </c>
      <c r="G1711" s="8">
        <v>3778.0</v>
      </c>
      <c r="H1711" s="8" t="s">
        <v>45</v>
      </c>
      <c r="K1711" s="8" t="s">
        <v>46</v>
      </c>
      <c r="L1711" s="8" t="s">
        <v>37</v>
      </c>
      <c r="P1711" s="9">
        <v>44137.0</v>
      </c>
      <c r="Q1711" s="10">
        <v>0.3833333333313931</v>
      </c>
      <c r="R1711" s="11" t="str">
        <f t="shared" si="1"/>
        <v>Настройка линии Primary</v>
      </c>
      <c r="S1711" s="16" t="str">
        <f>iferror(VLOOKUP(C1711,'ФИО'!A:B,2,0),"учётный код не найден")</f>
        <v>SMT</v>
      </c>
      <c r="T1711" s="11" t="str">
        <f t="shared" si="167"/>
        <v>ПУ 910-00349.A "Печатный узел основного блока E96 4LIN"</v>
      </c>
      <c r="U1711" s="8">
        <v>1300.0</v>
      </c>
      <c r="V1711" s="8">
        <v>0.0</v>
      </c>
      <c r="W1711" s="8">
        <v>2222.0</v>
      </c>
      <c r="X1711" s="14">
        <f t="shared" si="154"/>
        <v>0.6995264744</v>
      </c>
      <c r="Y1711" s="15">
        <f t="shared" si="163"/>
        <v>0</v>
      </c>
      <c r="Z1711" s="8" t="s">
        <v>329</v>
      </c>
    </row>
    <row r="1712" hidden="1">
      <c r="A1712" s="7">
        <v>44137.824053530094</v>
      </c>
      <c r="B1712" s="8" t="s">
        <v>26</v>
      </c>
      <c r="C1712" s="8">
        <v>22507.0</v>
      </c>
      <c r="D1712" s="8" t="s">
        <v>69</v>
      </c>
      <c r="F1712" s="8" t="s">
        <v>103</v>
      </c>
      <c r="G1712" s="8">
        <v>3778.0</v>
      </c>
      <c r="H1712" s="8" t="s">
        <v>45</v>
      </c>
      <c r="K1712" s="8" t="s">
        <v>46</v>
      </c>
      <c r="L1712" s="8" t="s">
        <v>37</v>
      </c>
      <c r="P1712" s="9">
        <v>44137.0</v>
      </c>
      <c r="Q1712" s="10">
        <v>0.20833333333575865</v>
      </c>
      <c r="R1712" s="11" t="str">
        <f t="shared" si="1"/>
        <v>Проверка на АОИ PRI</v>
      </c>
      <c r="S1712" s="16" t="str">
        <f>iferror(VLOOKUP(C1712,'ФИО'!A:B,2,0),"учётный код не найден")</f>
        <v>Щепочкин Максим Михайлович</v>
      </c>
      <c r="T1712" s="11" t="str">
        <f t="shared" si="167"/>
        <v>ПУ 910-00349.A "Печатный узел основного блока E96 4LIN"</v>
      </c>
      <c r="U1712" s="8">
        <v>500.0</v>
      </c>
      <c r="V1712" s="8">
        <v>0.0</v>
      </c>
      <c r="X1712" s="14" t="str">
        <f t="shared" si="154"/>
        <v>Данные не заполены</v>
      </c>
      <c r="Y1712" s="15">
        <f t="shared" si="163"/>
        <v>0</v>
      </c>
    </row>
    <row r="1713" hidden="1">
      <c r="A1713" s="7">
        <v>44137.81841287037</v>
      </c>
      <c r="B1713" s="8" t="s">
        <v>26</v>
      </c>
      <c r="C1713" s="8">
        <v>22087.0</v>
      </c>
      <c r="D1713" s="8" t="s">
        <v>27</v>
      </c>
      <c r="E1713" s="8" t="s">
        <v>97</v>
      </c>
      <c r="G1713" s="8">
        <v>3778.0</v>
      </c>
      <c r="H1713" s="8" t="s">
        <v>45</v>
      </c>
      <c r="K1713" s="8" t="s">
        <v>46</v>
      </c>
      <c r="L1713" s="8" t="s">
        <v>37</v>
      </c>
      <c r="P1713" s="9">
        <v>44137.0</v>
      </c>
      <c r="Q1713" s="10">
        <v>0.33333333333575865</v>
      </c>
      <c r="R1713" s="11" t="str">
        <f t="shared" si="1"/>
        <v>Проверка плат на АОИ Prim</v>
      </c>
      <c r="S1713" s="16" t="str">
        <f>iferror(VLOOKUP(C1713,'ФИО'!A:B,2,0),"учётный код не найден")</f>
        <v>Хохряков Илья Александрович</v>
      </c>
      <c r="T1713" s="11" t="str">
        <f t="shared" si="167"/>
        <v>ПУ 910-00349.A "Печатный узел основного блока E96 4LIN"</v>
      </c>
      <c r="U1713" s="8">
        <v>930.0</v>
      </c>
      <c r="V1713" s="8">
        <v>78.0</v>
      </c>
      <c r="X1713" s="14" t="str">
        <f t="shared" si="154"/>
        <v>Данные не заполены</v>
      </c>
      <c r="Y1713" s="15">
        <f t="shared" si="163"/>
        <v>0.08387096774</v>
      </c>
      <c r="Z1713" s="8" t="s">
        <v>330</v>
      </c>
    </row>
    <row r="1714" hidden="1">
      <c r="A1714" s="7">
        <v>44137.82135083333</v>
      </c>
      <c r="B1714" s="8" t="s">
        <v>26</v>
      </c>
      <c r="C1714" s="8">
        <v>22087.0</v>
      </c>
      <c r="D1714" s="8" t="s">
        <v>27</v>
      </c>
      <c r="E1714" s="8" t="s">
        <v>67</v>
      </c>
      <c r="G1714" s="8">
        <v>3778.0</v>
      </c>
      <c r="H1714" s="8" t="s">
        <v>45</v>
      </c>
      <c r="K1714" s="8" t="s">
        <v>46</v>
      </c>
      <c r="L1714" s="8" t="s">
        <v>37</v>
      </c>
      <c r="P1714" s="9">
        <v>44137.0</v>
      </c>
      <c r="Q1714" s="10">
        <v>0.125</v>
      </c>
      <c r="R1714" s="11" t="str">
        <f t="shared" si="1"/>
        <v>Сборка на линии Prim</v>
      </c>
      <c r="S1714" s="16" t="str">
        <f>iferror(VLOOKUP(C1714,'ФИО'!A:B,2,0),"учётный код не найден")</f>
        <v>Хохряков Илья Александрович</v>
      </c>
      <c r="T1714" s="11" t="str">
        <f t="shared" si="167"/>
        <v>ПУ 910-00349.A "Печатный узел основного блока E96 4LIN"</v>
      </c>
      <c r="U1714" s="8">
        <v>0.0</v>
      </c>
      <c r="V1714" s="8">
        <v>0.0</v>
      </c>
      <c r="X1714" s="14" t="str">
        <f t="shared" si="154"/>
        <v>Данные не заполены</v>
      </c>
      <c r="Y1714" s="15">
        <f t="shared" si="163"/>
        <v>0</v>
      </c>
    </row>
    <row r="1715" hidden="1">
      <c r="A1715" s="7">
        <v>44137.81838616898</v>
      </c>
      <c r="B1715" s="8" t="s">
        <v>26</v>
      </c>
      <c r="C1715" s="8">
        <v>21522.0</v>
      </c>
      <c r="D1715" s="8" t="s">
        <v>27</v>
      </c>
      <c r="E1715" s="8" t="s">
        <v>67</v>
      </c>
      <c r="G1715" s="8">
        <v>3778.0</v>
      </c>
      <c r="H1715" s="8" t="s">
        <v>45</v>
      </c>
      <c r="K1715" s="8" t="s">
        <v>46</v>
      </c>
      <c r="L1715" s="8" t="s">
        <v>37</v>
      </c>
      <c r="P1715" s="9">
        <v>44137.0</v>
      </c>
      <c r="Q1715" s="10">
        <v>0.45833333333575865</v>
      </c>
      <c r="R1715" s="11" t="str">
        <f t="shared" si="1"/>
        <v>Сборка на линии Prim</v>
      </c>
      <c r="S1715" s="16" t="str">
        <f>iferror(VLOOKUP(C1715,'ФИО'!A:B,2,0),"учётный код не найден")</f>
        <v>Исаев Никита Дмитриевич</v>
      </c>
      <c r="T1715" s="11" t="str">
        <f t="shared" si="167"/>
        <v>ПУ 910-00349.A "Печатный узел основного блока E96 4LIN"</v>
      </c>
      <c r="U1715" s="8">
        <v>0.0</v>
      </c>
      <c r="V1715" s="8">
        <v>0.0</v>
      </c>
      <c r="X1715" s="14" t="str">
        <f t="shared" si="154"/>
        <v>Данные не заполены</v>
      </c>
      <c r="Y1715" s="15">
        <f t="shared" si="163"/>
        <v>0</v>
      </c>
    </row>
    <row r="1716" hidden="1">
      <c r="A1716" s="7">
        <v>44137.75224241898</v>
      </c>
      <c r="B1716" s="8" t="s">
        <v>26</v>
      </c>
      <c r="C1716" s="8">
        <v>22721.0</v>
      </c>
      <c r="D1716" s="8" t="s">
        <v>27</v>
      </c>
      <c r="E1716" s="8" t="s">
        <v>68</v>
      </c>
      <c r="L1716" s="8" t="s">
        <v>31</v>
      </c>
      <c r="M1716" s="8" t="s">
        <v>34</v>
      </c>
      <c r="P1716" s="9">
        <v>44137.0</v>
      </c>
      <c r="Q1716" s="10">
        <v>0.33333333333575865</v>
      </c>
      <c r="R1716" s="11" t="str">
        <f t="shared" si="1"/>
        <v>Прохождение обучения</v>
      </c>
      <c r="S1716" s="16" t="str">
        <f>iferror(VLOOKUP(C1716,'ФИО'!A:B,2,0),"учётный код не найден")</f>
        <v>Заславский Антон Игоревич</v>
      </c>
      <c r="T1716" s="11" t="str">
        <f t="shared" si="167"/>
        <v/>
      </c>
      <c r="X1716" s="14" t="str">
        <f t="shared" si="154"/>
        <v>Данные не заполены</v>
      </c>
      <c r="Y1716" s="15">
        <f t="shared" si="163"/>
        <v>0</v>
      </c>
    </row>
    <row r="1717" hidden="1">
      <c r="A1717" s="7">
        <v>44137.829169606484</v>
      </c>
      <c r="B1717" s="8" t="s">
        <v>26</v>
      </c>
      <c r="C1717" s="8">
        <v>21752.0</v>
      </c>
      <c r="D1717" s="8" t="s">
        <v>27</v>
      </c>
      <c r="E1717" s="8" t="s">
        <v>67</v>
      </c>
      <c r="G1717" s="8">
        <v>3778.0</v>
      </c>
      <c r="H1717" s="8" t="s">
        <v>45</v>
      </c>
      <c r="K1717" s="8" t="s">
        <v>46</v>
      </c>
      <c r="L1717" s="8" t="s">
        <v>37</v>
      </c>
      <c r="P1717" s="9">
        <v>44137.0</v>
      </c>
      <c r="Q1717" s="10">
        <v>0.3125</v>
      </c>
      <c r="R1717" s="11" t="str">
        <f t="shared" si="1"/>
        <v>Сборка на линии Prim</v>
      </c>
      <c r="S1717" s="16" t="str">
        <f>iferror(VLOOKUP(C1717,'ФИО'!A:B,2,0),"учётный код не найден")</f>
        <v>Егоров Александр Александрович</v>
      </c>
      <c r="T1717" s="11" t="str">
        <f t="shared" si="167"/>
        <v>ПУ 910-00349.A "Печатный узел основного блока E96 4LIN"</v>
      </c>
      <c r="U1717" s="8">
        <v>0.0</v>
      </c>
      <c r="V1717" s="8">
        <v>0.0</v>
      </c>
      <c r="X1717" s="14" t="str">
        <f t="shared" si="154"/>
        <v>Данные не заполены</v>
      </c>
      <c r="Y1717" s="15">
        <f t="shared" si="163"/>
        <v>0</v>
      </c>
    </row>
    <row r="1718" hidden="1">
      <c r="A1718" s="7">
        <v>44137.82990196759</v>
      </c>
      <c r="B1718" s="8" t="s">
        <v>26</v>
      </c>
      <c r="C1718" s="8">
        <v>21752.0</v>
      </c>
      <c r="D1718" s="8" t="s">
        <v>27</v>
      </c>
      <c r="E1718" s="8" t="s">
        <v>97</v>
      </c>
      <c r="G1718" s="8">
        <v>3778.0</v>
      </c>
      <c r="H1718" s="8" t="s">
        <v>45</v>
      </c>
      <c r="K1718" s="8" t="s">
        <v>46</v>
      </c>
      <c r="L1718" s="8" t="s">
        <v>37</v>
      </c>
      <c r="P1718" s="9">
        <v>44137.0</v>
      </c>
      <c r="Q1718" s="10">
        <v>0.10416666666424135</v>
      </c>
      <c r="R1718" s="11" t="str">
        <f t="shared" si="1"/>
        <v>Проверка плат на АОИ Prim</v>
      </c>
      <c r="S1718" s="16" t="str">
        <f>iferror(VLOOKUP(C1718,'ФИО'!A:B,2,0),"учётный код не найден")</f>
        <v>Егоров Александр Александрович</v>
      </c>
      <c r="T1718" s="11" t="str">
        <f t="shared" si="167"/>
        <v>ПУ 910-00349.A "Печатный узел основного блока E96 4LIN"</v>
      </c>
      <c r="U1718" s="8">
        <v>258.0</v>
      </c>
      <c r="V1718" s="8">
        <v>20.0</v>
      </c>
      <c r="X1718" s="14" t="str">
        <f t="shared" si="154"/>
        <v>Данные не заполены</v>
      </c>
      <c r="Y1718" s="15">
        <f t="shared" si="163"/>
        <v>0.07751937984</v>
      </c>
      <c r="Z1718" s="8" t="s">
        <v>330</v>
      </c>
    </row>
    <row r="1719" hidden="1">
      <c r="A1719" s="7">
        <v>44137.83049960648</v>
      </c>
      <c r="B1719" s="8" t="s">
        <v>26</v>
      </c>
      <c r="C1719" s="8">
        <v>21752.0</v>
      </c>
      <c r="D1719" s="8" t="s">
        <v>27</v>
      </c>
      <c r="E1719" s="8" t="s">
        <v>82</v>
      </c>
      <c r="G1719" s="8">
        <v>3778.0</v>
      </c>
      <c r="H1719" s="8" t="s">
        <v>45</v>
      </c>
      <c r="K1719" s="8" t="s">
        <v>46</v>
      </c>
      <c r="L1719" s="8" t="s">
        <v>31</v>
      </c>
      <c r="M1719" s="8" t="s">
        <v>34</v>
      </c>
      <c r="P1719" s="9">
        <v>44137.0</v>
      </c>
      <c r="Q1719" s="10">
        <v>0.04166666666424135</v>
      </c>
      <c r="R1719" s="11" t="str">
        <f t="shared" si="1"/>
        <v>Настройка установщиков</v>
      </c>
      <c r="S1719" s="16" t="str">
        <f>iferror(VLOOKUP(C1719,'ФИО'!A:B,2,0),"учётный код не найден")</f>
        <v>Егоров Александр Александрович</v>
      </c>
      <c r="T1719" s="11" t="str">
        <f t="shared" si="167"/>
        <v>ПУ 910-00349.A "Печатный узел основного блока E96 4LIN"</v>
      </c>
      <c r="U1719" s="8">
        <v>0.0</v>
      </c>
      <c r="V1719" s="8">
        <v>0.0</v>
      </c>
      <c r="X1719" s="14" t="str">
        <f t="shared" si="154"/>
        <v>Данные не заполены</v>
      </c>
      <c r="Y1719" s="15">
        <f t="shared" si="163"/>
        <v>0</v>
      </c>
    </row>
    <row r="1720" hidden="1">
      <c r="A1720" s="7">
        <v>44137.82590121528</v>
      </c>
      <c r="B1720" s="8" t="s">
        <v>26</v>
      </c>
      <c r="C1720" s="8">
        <v>21475.0</v>
      </c>
      <c r="D1720" s="8" t="s">
        <v>69</v>
      </c>
      <c r="F1720" s="8" t="s">
        <v>106</v>
      </c>
      <c r="G1720" s="8">
        <v>3778.0</v>
      </c>
      <c r="H1720" s="8" t="s">
        <v>45</v>
      </c>
      <c r="K1720" s="8" t="s">
        <v>46</v>
      </c>
      <c r="L1720" s="8" t="s">
        <v>31</v>
      </c>
      <c r="M1720" s="8" t="s">
        <v>34</v>
      </c>
      <c r="P1720" s="9">
        <v>44137.0</v>
      </c>
      <c r="Q1720" s="10">
        <v>0.020833333335758653</v>
      </c>
      <c r="R1720" s="11" t="str">
        <f t="shared" si="1"/>
        <v>Настройка SEHO PRI</v>
      </c>
      <c r="S1720" s="16" t="str">
        <f>iferror(VLOOKUP(C1720,'ФИО'!A:B,2,0),"учётный код не найден")</f>
        <v>Байрамашвили Альберт Зурабович</v>
      </c>
      <c r="T1720" s="11" t="str">
        <f t="shared" si="167"/>
        <v>ПУ 910-00349.A "Печатный узел основного блока E96 4LIN"</v>
      </c>
      <c r="U1720" s="8">
        <v>0.0</v>
      </c>
      <c r="V1720" s="8">
        <v>0.0</v>
      </c>
      <c r="X1720" s="14" t="str">
        <f t="shared" si="154"/>
        <v>Данные не заполены</v>
      </c>
      <c r="Y1720" s="15">
        <f t="shared" si="163"/>
        <v>0</v>
      </c>
    </row>
    <row r="1721">
      <c r="A1721" s="7">
        <v>44137.82694274306</v>
      </c>
      <c r="B1721" s="8" t="s">
        <v>26</v>
      </c>
      <c r="C1721" s="8">
        <v>21475.0</v>
      </c>
      <c r="D1721" s="8" t="s">
        <v>69</v>
      </c>
      <c r="F1721" s="8" t="s">
        <v>72</v>
      </c>
      <c r="G1721" s="8">
        <v>3778.0</v>
      </c>
      <c r="H1721" s="8" t="s">
        <v>45</v>
      </c>
      <c r="K1721" s="8" t="s">
        <v>46</v>
      </c>
      <c r="L1721" s="8" t="s">
        <v>37</v>
      </c>
      <c r="P1721" s="9">
        <v>44137.0</v>
      </c>
      <c r="Q1721" s="10">
        <v>0.22916666666424135</v>
      </c>
      <c r="R1721" s="11" t="str">
        <f t="shared" si="1"/>
        <v>Пайка компонентов PRI</v>
      </c>
      <c r="S1721" s="16" t="str">
        <f>iferror(VLOOKUP(C1721,'ФИО'!A:B,2,0),"учётный код не найден")</f>
        <v>Байрамашвили Альберт Зурабович</v>
      </c>
      <c r="T1721" s="11" t="str">
        <f t="shared" si="167"/>
        <v>ПУ 910-00349.A "Печатный узел основного блока E96 4LIN"</v>
      </c>
      <c r="U1721" s="8">
        <v>0.0</v>
      </c>
      <c r="V1721" s="8">
        <v>0.0</v>
      </c>
      <c r="X1721" s="14" t="str">
        <f t="shared" si="154"/>
        <v>Данные не заполены</v>
      </c>
      <c r="Y1721" s="15">
        <f t="shared" si="163"/>
        <v>0</v>
      </c>
    </row>
    <row r="1722" hidden="1">
      <c r="A1722" s="7">
        <v>44137.82861494213</v>
      </c>
      <c r="B1722" s="8" t="s">
        <v>26</v>
      </c>
      <c r="C1722" s="8">
        <v>21475.0</v>
      </c>
      <c r="D1722" s="8" t="s">
        <v>69</v>
      </c>
      <c r="F1722" s="8" t="s">
        <v>103</v>
      </c>
      <c r="G1722" s="8">
        <v>3778.0</v>
      </c>
      <c r="H1722" s="8" t="s">
        <v>45</v>
      </c>
      <c r="K1722" s="8" t="s">
        <v>46</v>
      </c>
      <c r="L1722" s="8" t="s">
        <v>37</v>
      </c>
      <c r="P1722" s="9">
        <v>44137.0</v>
      </c>
      <c r="Q1722" s="10">
        <v>0.20833333333575865</v>
      </c>
      <c r="R1722" s="11" t="str">
        <f t="shared" si="1"/>
        <v>Проверка на АОИ PRI</v>
      </c>
      <c r="S1722" s="16" t="str">
        <f>iferror(VLOOKUP(C1722,'ФИО'!A:B,2,0),"учётный код не найден")</f>
        <v>Байрамашвили Альберт Зурабович</v>
      </c>
      <c r="T1722" s="11" t="str">
        <f t="shared" si="167"/>
        <v>ПУ 910-00349.A "Печатный узел основного блока E96 4LIN"</v>
      </c>
      <c r="U1722" s="8">
        <v>444.0</v>
      </c>
      <c r="V1722" s="8">
        <v>36.0</v>
      </c>
      <c r="X1722" s="14" t="str">
        <f t="shared" si="154"/>
        <v>Данные не заполены</v>
      </c>
      <c r="Y1722" s="15">
        <f t="shared" si="163"/>
        <v>0.08108108108</v>
      </c>
    </row>
    <row r="1723" hidden="1">
      <c r="A1723" s="7">
        <v>44138.320456331014</v>
      </c>
      <c r="B1723" s="8" t="s">
        <v>76</v>
      </c>
      <c r="C1723" s="8">
        <v>21452.0</v>
      </c>
      <c r="D1723" s="8" t="s">
        <v>69</v>
      </c>
      <c r="F1723" s="8" t="s">
        <v>103</v>
      </c>
      <c r="G1723" s="8">
        <v>3778.0</v>
      </c>
      <c r="H1723" s="8" t="s">
        <v>45</v>
      </c>
      <c r="K1723" s="8" t="s">
        <v>46</v>
      </c>
      <c r="L1723" s="8" t="s">
        <v>37</v>
      </c>
      <c r="P1723" s="9">
        <v>44137.0</v>
      </c>
      <c r="Q1723" s="10">
        <v>0.45833333333575865</v>
      </c>
      <c r="R1723" s="11" t="str">
        <f t="shared" si="1"/>
        <v>Проверка на АОИ PRI</v>
      </c>
      <c r="S1723" s="16" t="str">
        <f>iferror(VLOOKUP(C1723,'ФИО'!A:B,2,0),"учётный код не найден")</f>
        <v>Шевель Вадим Вячеславович</v>
      </c>
      <c r="T1723" s="13" t="str">
        <f t="shared" si="167"/>
        <v>ПУ 910-00349.A "Печатный узел основного блока E96 4LIN"</v>
      </c>
      <c r="U1723" s="8">
        <v>548.0</v>
      </c>
      <c r="V1723" s="8">
        <v>0.0</v>
      </c>
      <c r="W1723" s="17" t="str">
        <f t="shared" ref="W1723:W1733" si="168">IFERROR((((38412/(ifs(O1723&lt;35,35,O1723&gt;34,O1723)/N1723)*0.7))),"Данные не заполены")</f>
        <v>Данные не заполены</v>
      </c>
      <c r="X1723" s="14" t="str">
        <f t="shared" si="154"/>
        <v>Данные не заполены</v>
      </c>
      <c r="Y1723" s="15">
        <f t="shared" si="163"/>
        <v>0</v>
      </c>
    </row>
    <row r="1724" hidden="1">
      <c r="A1724" s="7">
        <v>44138.32597222222</v>
      </c>
      <c r="B1724" s="8" t="s">
        <v>76</v>
      </c>
      <c r="C1724" s="8">
        <v>21954.0</v>
      </c>
      <c r="D1724" s="8" t="s">
        <v>27</v>
      </c>
      <c r="E1724" s="8" t="s">
        <v>67</v>
      </c>
      <c r="G1724" s="8">
        <v>3778.0</v>
      </c>
      <c r="H1724" s="8" t="s">
        <v>45</v>
      </c>
      <c r="K1724" s="8" t="s">
        <v>46</v>
      </c>
      <c r="L1724" s="8" t="s">
        <v>37</v>
      </c>
      <c r="P1724" s="9">
        <v>44137.0</v>
      </c>
      <c r="Q1724" s="10">
        <v>0.45833333333575865</v>
      </c>
      <c r="R1724" s="11" t="str">
        <f t="shared" si="1"/>
        <v>Сборка на линии Prim</v>
      </c>
      <c r="S1724" s="16" t="str">
        <f>iferror(VLOOKUP(C1724,'ФИО'!A:B,2,0),"учётный код не найден")</f>
        <v>Александров Александр Викторович</v>
      </c>
      <c r="T1724" s="13" t="str">
        <f t="shared" si="167"/>
        <v>ПУ 910-00349.A "Печатный узел основного блока E96 4LIN"</v>
      </c>
      <c r="U1724" s="8">
        <v>0.0</v>
      </c>
      <c r="V1724" s="8">
        <v>0.0</v>
      </c>
      <c r="W1724" s="17" t="str">
        <f t="shared" si="168"/>
        <v>Данные не заполены</v>
      </c>
      <c r="X1724" s="14" t="str">
        <f t="shared" si="154"/>
        <v>Данные не заполены</v>
      </c>
      <c r="Y1724" s="15">
        <f t="shared" si="163"/>
        <v>0</v>
      </c>
    </row>
    <row r="1725" hidden="1">
      <c r="A1725" s="7">
        <v>44138.32627789352</v>
      </c>
      <c r="B1725" s="8" t="s">
        <v>76</v>
      </c>
      <c r="C1725" s="8">
        <v>22011.0</v>
      </c>
      <c r="D1725" s="8" t="s">
        <v>27</v>
      </c>
      <c r="E1725" s="8" t="s">
        <v>67</v>
      </c>
      <c r="G1725" s="8">
        <v>3778.0</v>
      </c>
      <c r="H1725" s="8" t="s">
        <v>45</v>
      </c>
      <c r="K1725" s="8" t="s">
        <v>46</v>
      </c>
      <c r="L1725" s="8" t="s">
        <v>37</v>
      </c>
      <c r="P1725" s="9">
        <v>44137.0</v>
      </c>
      <c r="Q1725" s="10">
        <v>0.45833333333575865</v>
      </c>
      <c r="R1725" s="11" t="str">
        <f t="shared" si="1"/>
        <v>Сборка на линии Prim</v>
      </c>
      <c r="S1725" s="16" t="str">
        <f>iferror(VLOOKUP(C1725,'ФИО'!A:B,2,0),"учётный код не найден")</f>
        <v>Сергеев Алексей Андреевич</v>
      </c>
      <c r="T1725" s="13" t="str">
        <f t="shared" si="167"/>
        <v>ПУ 910-00349.A "Печатный узел основного блока E96 4LIN"</v>
      </c>
      <c r="U1725" s="8">
        <v>0.0</v>
      </c>
      <c r="V1725" s="8">
        <v>0.0</v>
      </c>
      <c r="W1725" s="17" t="str">
        <f t="shared" si="168"/>
        <v>Данные не заполены</v>
      </c>
      <c r="X1725" s="14" t="str">
        <f t="shared" si="154"/>
        <v>Данные не заполены</v>
      </c>
      <c r="Y1725" s="15">
        <f t="shared" si="163"/>
        <v>0</v>
      </c>
    </row>
    <row r="1726" hidden="1">
      <c r="A1726" s="7">
        <v>44138.330602581016</v>
      </c>
      <c r="B1726" s="8" t="s">
        <v>76</v>
      </c>
      <c r="C1726" s="8">
        <v>21504.0</v>
      </c>
      <c r="D1726" s="8" t="s">
        <v>27</v>
      </c>
      <c r="E1726" s="8" t="s">
        <v>97</v>
      </c>
      <c r="G1726" s="8">
        <v>3778.0</v>
      </c>
      <c r="H1726" s="8" t="s">
        <v>45</v>
      </c>
      <c r="K1726" s="8" t="s">
        <v>46</v>
      </c>
      <c r="L1726" s="8" t="s">
        <v>37</v>
      </c>
      <c r="P1726" s="9">
        <v>44137.0</v>
      </c>
      <c r="Q1726" s="10">
        <v>0.45833333333575865</v>
      </c>
      <c r="R1726" s="11" t="str">
        <f t="shared" si="1"/>
        <v>Проверка плат на АОИ Prim</v>
      </c>
      <c r="S1726" s="16" t="str">
        <f>iferror(VLOOKUP(C1726,'ФИО'!A:B,2,0),"учётный код не найден")</f>
        <v>Александрова Елена Сергеевна</v>
      </c>
      <c r="T1726" s="13" t="str">
        <f t="shared" si="167"/>
        <v>ПУ 910-00349.A "Печатный узел основного блока E96 4LIN"</v>
      </c>
      <c r="U1726" s="8">
        <v>1260.0</v>
      </c>
      <c r="V1726" s="8">
        <v>380.0</v>
      </c>
      <c r="W1726" s="17" t="str">
        <f t="shared" si="168"/>
        <v>Данные не заполены</v>
      </c>
      <c r="X1726" s="14" t="str">
        <f t="shared" si="154"/>
        <v>Данные не заполены</v>
      </c>
      <c r="Y1726" s="15">
        <f t="shared" si="163"/>
        <v>0.3015873016</v>
      </c>
      <c r="Z1726" s="8" t="s">
        <v>331</v>
      </c>
    </row>
    <row r="1727" hidden="1">
      <c r="A1727" s="7">
        <v>44138.33220462963</v>
      </c>
      <c r="B1727" s="8" t="s">
        <v>76</v>
      </c>
      <c r="C1727" s="8">
        <v>20693.0</v>
      </c>
      <c r="D1727" s="8" t="s">
        <v>27</v>
      </c>
      <c r="E1727" s="8" t="s">
        <v>168</v>
      </c>
      <c r="G1727" s="8">
        <v>3637.0</v>
      </c>
      <c r="H1727" s="8" t="s">
        <v>29</v>
      </c>
      <c r="I1727" s="8" t="s">
        <v>332</v>
      </c>
      <c r="L1727" s="8" t="s">
        <v>31</v>
      </c>
      <c r="M1727" s="8" t="s">
        <v>34</v>
      </c>
      <c r="P1727" s="9">
        <v>44137.0</v>
      </c>
      <c r="Q1727" s="10">
        <v>0.45833333333575865</v>
      </c>
      <c r="R1727" s="11" t="str">
        <f t="shared" si="1"/>
        <v>Создание программы для NPM</v>
      </c>
      <c r="S1727" s="16" t="str">
        <f>iferror(VLOOKUP(C1727,'ФИО'!A:B,2,0),"учётный код не найден")</f>
        <v>Аникина Раиса Владимировна</v>
      </c>
      <c r="T1727" s="13" t="str">
        <f t="shared" si="167"/>
        <v>915-00129.A - МП AQC622FW-1 (Аквариус) в ТС</v>
      </c>
      <c r="U1727" s="8">
        <v>0.0</v>
      </c>
      <c r="V1727" s="8">
        <v>0.0</v>
      </c>
      <c r="W1727" s="17" t="str">
        <f t="shared" si="168"/>
        <v>Данные не заполены</v>
      </c>
      <c r="X1727" s="14" t="str">
        <f t="shared" si="154"/>
        <v>Данные не заполены</v>
      </c>
      <c r="Y1727" s="15">
        <f t="shared" si="163"/>
        <v>0</v>
      </c>
    </row>
    <row r="1728" hidden="1">
      <c r="A1728" s="7">
        <v>44138.33347868056</v>
      </c>
      <c r="B1728" s="8" t="s">
        <v>76</v>
      </c>
      <c r="C1728" s="8">
        <v>50000.0</v>
      </c>
      <c r="D1728" s="8" t="s">
        <v>27</v>
      </c>
      <c r="E1728" s="8" t="s">
        <v>67</v>
      </c>
      <c r="G1728" s="8">
        <v>3778.0</v>
      </c>
      <c r="H1728" s="8" t="s">
        <v>45</v>
      </c>
      <c r="K1728" s="8" t="s">
        <v>46</v>
      </c>
      <c r="L1728" s="8" t="s">
        <v>37</v>
      </c>
      <c r="N1728" s="8">
        <v>4.0</v>
      </c>
      <c r="O1728" s="8">
        <v>60.0</v>
      </c>
      <c r="P1728" s="9">
        <v>44137.0</v>
      </c>
      <c r="Q1728" s="10">
        <v>0.4166666666666667</v>
      </c>
      <c r="R1728" s="11" t="str">
        <f t="shared" si="1"/>
        <v>Сборка на линии Prim</v>
      </c>
      <c r="S1728" s="16" t="str">
        <f>iferror(VLOOKUP(C1728,'ФИО'!A:B,2,0),"учётный код не найден")</f>
        <v>SMT</v>
      </c>
      <c r="T1728" s="13" t="str">
        <f t="shared" si="167"/>
        <v>ПУ 910-00349.A "Печатный узел основного блока E96 4LIN"</v>
      </c>
      <c r="U1728" s="8">
        <v>1604.0</v>
      </c>
      <c r="V1728" s="8">
        <v>0.0</v>
      </c>
      <c r="W1728" s="17">
        <f t="shared" si="168"/>
        <v>1792.56</v>
      </c>
      <c r="X1728" s="14">
        <f t="shared" si="154"/>
        <v>0.9842906235</v>
      </c>
      <c r="Y1728" s="15">
        <f t="shared" si="163"/>
        <v>0</v>
      </c>
    </row>
    <row r="1729" hidden="1">
      <c r="A1729" s="7">
        <v>44138.3334944213</v>
      </c>
      <c r="B1729" s="8" t="s">
        <v>76</v>
      </c>
      <c r="C1729" s="8">
        <v>21852.0</v>
      </c>
      <c r="D1729" s="8" t="s">
        <v>69</v>
      </c>
      <c r="F1729" s="8" t="s">
        <v>106</v>
      </c>
      <c r="G1729" s="8">
        <v>3778.0</v>
      </c>
      <c r="H1729" s="8" t="s">
        <v>45</v>
      </c>
      <c r="K1729" s="8" t="s">
        <v>46</v>
      </c>
      <c r="L1729" s="8" t="s">
        <v>31</v>
      </c>
      <c r="M1729" s="8" t="s">
        <v>34</v>
      </c>
      <c r="P1729" s="9">
        <v>44137.0</v>
      </c>
      <c r="Q1729" s="10">
        <v>0.04166666666424135</v>
      </c>
      <c r="R1729" s="11" t="str">
        <f t="shared" si="1"/>
        <v>Настройка SEHO PRI</v>
      </c>
      <c r="S1729" s="16" t="str">
        <f>iferror(VLOOKUP(C1729,'ФИО'!A:B,2,0),"учётный код не найден")</f>
        <v>Пономарев Юрий Андреевич</v>
      </c>
      <c r="T1729" s="13" t="str">
        <f t="shared" si="167"/>
        <v>ПУ 910-00349.A "Печатный узел основного блока E96 4LIN"</v>
      </c>
      <c r="U1729" s="8">
        <v>0.0</v>
      </c>
      <c r="V1729" s="8">
        <v>0.0</v>
      </c>
      <c r="W1729" s="17" t="str">
        <f t="shared" si="168"/>
        <v>Данные не заполены</v>
      </c>
      <c r="X1729" s="14" t="str">
        <f t="shared" si="154"/>
        <v>Данные не заполены</v>
      </c>
      <c r="Y1729" s="15">
        <f t="shared" si="163"/>
        <v>0</v>
      </c>
    </row>
    <row r="1730" hidden="1">
      <c r="A1730" s="7">
        <v>44138.333966018516</v>
      </c>
      <c r="B1730" s="8" t="s">
        <v>76</v>
      </c>
      <c r="C1730" s="8">
        <v>21852.0</v>
      </c>
      <c r="D1730" s="8" t="s">
        <v>69</v>
      </c>
      <c r="F1730" s="8" t="s">
        <v>103</v>
      </c>
      <c r="G1730" s="8">
        <v>3778.0</v>
      </c>
      <c r="H1730" s="8" t="s">
        <v>45</v>
      </c>
      <c r="K1730" s="8" t="s">
        <v>46</v>
      </c>
      <c r="L1730" s="8" t="s">
        <v>37</v>
      </c>
      <c r="P1730" s="9">
        <v>44137.0</v>
      </c>
      <c r="Q1730" s="10">
        <v>0.08333333333575865</v>
      </c>
      <c r="R1730" s="11" t="str">
        <f t="shared" si="1"/>
        <v>Проверка на АОИ PRI</v>
      </c>
      <c r="S1730" s="16" t="str">
        <f>iferror(VLOOKUP(C1730,'ФИО'!A:B,2,0),"учётный код не найден")</f>
        <v>Пономарев Юрий Андреевич</v>
      </c>
      <c r="T1730" s="13" t="str">
        <f t="shared" si="167"/>
        <v>ПУ 910-00349.A "Печатный узел основного блока E96 4LIN"</v>
      </c>
      <c r="U1730" s="8">
        <v>160.0</v>
      </c>
      <c r="V1730" s="8">
        <v>4.0</v>
      </c>
      <c r="W1730" s="17" t="str">
        <f t="shared" si="168"/>
        <v>Данные не заполены</v>
      </c>
      <c r="X1730" s="14" t="str">
        <f t="shared" si="154"/>
        <v>Данные не заполены</v>
      </c>
      <c r="Y1730" s="15">
        <f t="shared" si="163"/>
        <v>0.025</v>
      </c>
    </row>
    <row r="1731" hidden="1">
      <c r="A1731" s="7">
        <v>44138.33432872685</v>
      </c>
      <c r="B1731" s="8" t="s">
        <v>76</v>
      </c>
      <c r="C1731" s="8">
        <v>21852.0</v>
      </c>
      <c r="D1731" s="8" t="s">
        <v>27</v>
      </c>
      <c r="E1731" s="8" t="s">
        <v>67</v>
      </c>
      <c r="G1731" s="8">
        <v>3778.0</v>
      </c>
      <c r="H1731" s="8" t="s">
        <v>45</v>
      </c>
      <c r="K1731" s="8" t="s">
        <v>46</v>
      </c>
      <c r="L1731" s="8" t="s">
        <v>37</v>
      </c>
      <c r="P1731" s="9">
        <v>44137.0</v>
      </c>
      <c r="Q1731" s="10">
        <v>0.09722222221898846</v>
      </c>
      <c r="R1731" s="11" t="str">
        <f t="shared" si="1"/>
        <v>Сборка на линии Prim</v>
      </c>
      <c r="S1731" s="16" t="str">
        <f>iferror(VLOOKUP(C1731,'ФИО'!A:B,2,0),"учётный код не найден")</f>
        <v>Пономарев Юрий Андреевич</v>
      </c>
      <c r="T1731" s="13" t="str">
        <f t="shared" si="167"/>
        <v>ПУ 910-00349.A "Печатный узел основного блока E96 4LIN"</v>
      </c>
      <c r="U1731" s="8">
        <v>0.0</v>
      </c>
      <c r="V1731" s="8">
        <v>0.0</v>
      </c>
      <c r="W1731" s="17" t="str">
        <f t="shared" si="168"/>
        <v>Данные не заполены</v>
      </c>
      <c r="X1731" s="14" t="str">
        <f t="shared" si="154"/>
        <v>Данные не заполены</v>
      </c>
      <c r="Y1731" s="15">
        <f t="shared" si="163"/>
        <v>0</v>
      </c>
    </row>
    <row r="1732">
      <c r="A1732" s="7">
        <v>44138.33476199074</v>
      </c>
      <c r="B1732" s="8" t="s">
        <v>76</v>
      </c>
      <c r="C1732" s="8">
        <v>21852.0</v>
      </c>
      <c r="D1732" s="8" t="s">
        <v>69</v>
      </c>
      <c r="F1732" s="8" t="s">
        <v>72</v>
      </c>
      <c r="G1732" s="8">
        <v>3778.0</v>
      </c>
      <c r="H1732" s="8" t="s">
        <v>45</v>
      </c>
      <c r="K1732" s="8" t="s">
        <v>46</v>
      </c>
      <c r="L1732" s="8" t="s">
        <v>37</v>
      </c>
      <c r="P1732" s="9">
        <v>44137.0</v>
      </c>
      <c r="Q1732" s="10">
        <v>0.23611111110949423</v>
      </c>
      <c r="R1732" s="11" t="str">
        <f t="shared" si="1"/>
        <v>Пайка компонентов PRI</v>
      </c>
      <c r="S1732" s="16" t="str">
        <f>iferror(VLOOKUP(C1732,'ФИО'!A:B,2,0),"учётный код не найден")</f>
        <v>Пономарев Юрий Андреевич</v>
      </c>
      <c r="T1732" s="13" t="str">
        <f t="shared" si="167"/>
        <v>ПУ 910-00349.A "Печатный узел основного блока E96 4LIN"</v>
      </c>
      <c r="U1732" s="8">
        <v>648.0</v>
      </c>
      <c r="V1732" s="8">
        <v>0.0</v>
      </c>
      <c r="W1732" s="17" t="str">
        <f t="shared" si="168"/>
        <v>Данные не заполены</v>
      </c>
      <c r="X1732" s="14" t="str">
        <f t="shared" si="154"/>
        <v>Данные не заполены</v>
      </c>
      <c r="Y1732" s="15">
        <f t="shared" si="163"/>
        <v>0</v>
      </c>
    </row>
    <row r="1733">
      <c r="A1733" s="7">
        <v>44138.33510361111</v>
      </c>
      <c r="B1733" s="8" t="s">
        <v>76</v>
      </c>
      <c r="C1733" s="8">
        <v>60000.0</v>
      </c>
      <c r="D1733" s="8" t="s">
        <v>69</v>
      </c>
      <c r="F1733" s="8" t="s">
        <v>72</v>
      </c>
      <c r="G1733" s="8">
        <v>3778.0</v>
      </c>
      <c r="H1733" s="8" t="s">
        <v>45</v>
      </c>
      <c r="K1733" s="8" t="s">
        <v>46</v>
      </c>
      <c r="L1733" s="8" t="s">
        <v>37</v>
      </c>
      <c r="N1733" s="8">
        <v>4.0</v>
      </c>
      <c r="O1733" s="8">
        <v>127.0</v>
      </c>
      <c r="P1733" s="9">
        <v>44137.0</v>
      </c>
      <c r="Q1733" s="10">
        <v>0.23611111110949423</v>
      </c>
      <c r="R1733" s="11" t="str">
        <f t="shared" si="1"/>
        <v>Пайка компонентов PRI</v>
      </c>
      <c r="S1733" s="16" t="str">
        <f>iferror(VLOOKUP(C1733,'ФИО'!A:B,2,0),"учётный код не найден")</f>
        <v>THT</v>
      </c>
      <c r="T1733" s="13" t="str">
        <f t="shared" si="167"/>
        <v>ПУ 910-00349.A "Печатный узел основного блока E96 4LIN"</v>
      </c>
      <c r="U1733" s="8">
        <v>648.0</v>
      </c>
      <c r="V1733" s="8">
        <v>0.0</v>
      </c>
      <c r="W1733" s="17">
        <f t="shared" si="168"/>
        <v>846.8787402</v>
      </c>
      <c r="X1733" s="14">
        <f t="shared" si="154"/>
        <v>1.485315776</v>
      </c>
      <c r="Y1733" s="15">
        <f t="shared" si="163"/>
        <v>0</v>
      </c>
    </row>
    <row r="1734">
      <c r="A1734" s="16"/>
      <c r="B1734" s="16"/>
      <c r="C1734" s="16"/>
      <c r="D1734" s="16"/>
      <c r="E1734" s="16"/>
      <c r="F1734" s="16"/>
      <c r="G1734" s="16"/>
      <c r="H1734" s="16"/>
      <c r="I1734" s="16"/>
      <c r="J1734" s="16"/>
      <c r="K1734" s="16"/>
      <c r="L1734" s="16"/>
      <c r="M1734" s="16"/>
      <c r="N1734" s="16"/>
      <c r="O1734" s="16"/>
      <c r="P1734" s="16"/>
      <c r="Q1734" s="16"/>
      <c r="R1734" s="11" t="str">
        <f t="shared" si="1"/>
        <v/>
      </c>
      <c r="S1734" s="16"/>
      <c r="T1734" s="13" t="str">
        <f t="shared" si="167"/>
        <v/>
      </c>
      <c r="U1734" s="16"/>
      <c r="V1734" s="16"/>
      <c r="W1734" s="23"/>
      <c r="X1734" s="14"/>
      <c r="Y1734" s="15"/>
      <c r="Z1734" s="11"/>
    </row>
    <row r="1735">
      <c r="A1735" s="16"/>
      <c r="B1735" s="16"/>
      <c r="C1735" s="16"/>
      <c r="D1735" s="16"/>
      <c r="E1735" s="16"/>
      <c r="F1735" s="16"/>
      <c r="G1735" s="16"/>
      <c r="H1735" s="16"/>
      <c r="I1735" s="16"/>
      <c r="J1735" s="16"/>
      <c r="K1735" s="16"/>
      <c r="L1735" s="16"/>
      <c r="M1735" s="16"/>
      <c r="N1735" s="16"/>
      <c r="O1735" s="16"/>
      <c r="P1735" s="16"/>
      <c r="Q1735" s="16"/>
      <c r="R1735" s="11" t="str">
        <f t="shared" si="1"/>
        <v/>
      </c>
      <c r="S1735" s="16"/>
      <c r="T1735" s="13" t="str">
        <f t="shared" si="167"/>
        <v/>
      </c>
      <c r="U1735" s="16"/>
      <c r="V1735" s="16"/>
      <c r="W1735" s="23"/>
      <c r="X1735" s="14"/>
      <c r="Y1735" s="15"/>
      <c r="Z1735" s="11"/>
    </row>
    <row r="1736">
      <c r="A1736" s="16"/>
      <c r="B1736" s="16"/>
      <c r="C1736" s="16"/>
      <c r="D1736" s="16"/>
      <c r="E1736" s="16"/>
      <c r="F1736" s="16"/>
      <c r="G1736" s="16"/>
      <c r="H1736" s="16"/>
      <c r="I1736" s="16"/>
      <c r="J1736" s="16"/>
      <c r="K1736" s="16"/>
      <c r="L1736" s="16"/>
      <c r="M1736" s="16"/>
      <c r="N1736" s="16"/>
      <c r="O1736" s="16"/>
      <c r="P1736" s="16"/>
      <c r="Q1736" s="16"/>
      <c r="R1736" s="11" t="str">
        <f t="shared" si="1"/>
        <v/>
      </c>
      <c r="S1736" s="16"/>
      <c r="T1736" s="13" t="str">
        <f t="shared" si="167"/>
        <v/>
      </c>
      <c r="U1736" s="16"/>
      <c r="V1736" s="16"/>
      <c r="W1736" s="23"/>
      <c r="X1736" s="14"/>
      <c r="Y1736" s="15"/>
      <c r="Z1736" s="11"/>
    </row>
    <row r="1737">
      <c r="A1737" s="16"/>
      <c r="B1737" s="16"/>
      <c r="C1737" s="16"/>
      <c r="D1737" s="16"/>
      <c r="E1737" s="16"/>
      <c r="F1737" s="16"/>
      <c r="G1737" s="16"/>
      <c r="H1737" s="16"/>
      <c r="I1737" s="16"/>
      <c r="J1737" s="16"/>
      <c r="K1737" s="16"/>
      <c r="L1737" s="16"/>
      <c r="M1737" s="16"/>
      <c r="N1737" s="16"/>
      <c r="O1737" s="16"/>
      <c r="P1737" s="16"/>
      <c r="Q1737" s="16"/>
      <c r="R1737" s="11" t="str">
        <f t="shared" si="1"/>
        <v/>
      </c>
      <c r="S1737" s="16"/>
      <c r="T1737" s="13" t="str">
        <f t="shared" si="167"/>
        <v/>
      </c>
      <c r="U1737" s="16"/>
      <c r="V1737" s="16"/>
      <c r="W1737" s="23"/>
      <c r="X1737" s="14"/>
      <c r="Y1737" s="15"/>
      <c r="Z1737" s="11"/>
    </row>
    <row r="1738">
      <c r="A1738" s="16"/>
      <c r="B1738" s="16"/>
      <c r="C1738" s="16"/>
      <c r="D1738" s="16"/>
      <c r="E1738" s="16"/>
      <c r="F1738" s="16"/>
      <c r="G1738" s="16"/>
      <c r="H1738" s="16"/>
      <c r="I1738" s="16"/>
      <c r="J1738" s="16"/>
      <c r="K1738" s="16"/>
      <c r="L1738" s="16"/>
      <c r="M1738" s="16"/>
      <c r="N1738" s="16"/>
      <c r="O1738" s="16"/>
      <c r="P1738" s="16"/>
      <c r="Q1738" s="16"/>
      <c r="R1738" s="11" t="str">
        <f t="shared" si="1"/>
        <v/>
      </c>
      <c r="S1738" s="16"/>
      <c r="T1738" s="13" t="str">
        <f t="shared" si="167"/>
        <v/>
      </c>
      <c r="U1738" s="16"/>
      <c r="V1738" s="16"/>
      <c r="W1738" s="23"/>
      <c r="X1738" s="14"/>
      <c r="Y1738" s="15"/>
      <c r="Z1738" s="11"/>
    </row>
    <row r="1739">
      <c r="A1739" s="16"/>
      <c r="B1739" s="16"/>
      <c r="C1739" s="16"/>
      <c r="D1739" s="16"/>
      <c r="E1739" s="16"/>
      <c r="F1739" s="16"/>
      <c r="G1739" s="16"/>
      <c r="H1739" s="16"/>
      <c r="I1739" s="16"/>
      <c r="J1739" s="16"/>
      <c r="K1739" s="16"/>
      <c r="L1739" s="16"/>
      <c r="M1739" s="16"/>
      <c r="N1739" s="16"/>
      <c r="O1739" s="16"/>
      <c r="P1739" s="16"/>
      <c r="Q1739" s="16"/>
      <c r="R1739" s="11" t="str">
        <f t="shared" si="1"/>
        <v/>
      </c>
      <c r="S1739" s="16"/>
      <c r="T1739" s="13" t="str">
        <f t="shared" si="167"/>
        <v/>
      </c>
      <c r="U1739" s="16"/>
      <c r="V1739" s="16"/>
      <c r="W1739" s="23"/>
      <c r="X1739" s="14"/>
      <c r="Y1739" s="15"/>
      <c r="Z1739" s="11"/>
    </row>
    <row r="1740">
      <c r="A1740" s="16"/>
      <c r="B1740" s="16"/>
      <c r="C1740" s="16"/>
      <c r="D1740" s="16"/>
      <c r="E1740" s="16"/>
      <c r="F1740" s="16"/>
      <c r="G1740" s="16"/>
      <c r="H1740" s="16"/>
      <c r="I1740" s="16"/>
      <c r="J1740" s="16"/>
      <c r="K1740" s="16"/>
      <c r="L1740" s="16"/>
      <c r="M1740" s="16"/>
      <c r="N1740" s="16"/>
      <c r="O1740" s="16"/>
      <c r="P1740" s="16"/>
      <c r="Q1740" s="16"/>
      <c r="R1740" s="11" t="str">
        <f t="shared" si="1"/>
        <v/>
      </c>
      <c r="S1740" s="16"/>
      <c r="T1740" s="13" t="str">
        <f t="shared" si="167"/>
        <v/>
      </c>
      <c r="U1740" s="16"/>
      <c r="V1740" s="16"/>
      <c r="W1740" s="23"/>
      <c r="X1740" s="14"/>
      <c r="Y1740" s="15"/>
      <c r="Z1740" s="11"/>
    </row>
    <row r="1741">
      <c r="A1741" s="16"/>
      <c r="B1741" s="16"/>
      <c r="C1741" s="16"/>
      <c r="D1741" s="16"/>
      <c r="E1741" s="16"/>
      <c r="F1741" s="16"/>
      <c r="G1741" s="16"/>
      <c r="H1741" s="16"/>
      <c r="I1741" s="16"/>
      <c r="J1741" s="16"/>
      <c r="K1741" s="16"/>
      <c r="L1741" s="16"/>
      <c r="M1741" s="16"/>
      <c r="N1741" s="16"/>
      <c r="O1741" s="16"/>
      <c r="P1741" s="16"/>
      <c r="Q1741" s="16"/>
      <c r="R1741" s="11" t="str">
        <f t="shared" si="1"/>
        <v/>
      </c>
      <c r="S1741" s="16"/>
      <c r="T1741" s="13" t="str">
        <f t="shared" si="167"/>
        <v/>
      </c>
      <c r="U1741" s="16"/>
      <c r="V1741" s="16"/>
      <c r="W1741" s="23"/>
      <c r="X1741" s="14"/>
      <c r="Y1741" s="15"/>
      <c r="Z1741" s="11"/>
    </row>
    <row r="1742">
      <c r="A1742" s="16"/>
      <c r="B1742" s="16"/>
      <c r="C1742" s="16"/>
      <c r="D1742" s="16"/>
      <c r="E1742" s="16"/>
      <c r="F1742" s="16"/>
      <c r="G1742" s="16"/>
      <c r="H1742" s="16"/>
      <c r="I1742" s="16"/>
      <c r="J1742" s="16"/>
      <c r="K1742" s="16"/>
      <c r="L1742" s="16"/>
      <c r="M1742" s="16"/>
      <c r="N1742" s="16"/>
      <c r="O1742" s="16"/>
      <c r="P1742" s="16"/>
      <c r="Q1742" s="16"/>
      <c r="R1742" s="11" t="str">
        <f t="shared" si="1"/>
        <v/>
      </c>
      <c r="S1742" s="16"/>
      <c r="T1742" s="13" t="str">
        <f t="shared" si="167"/>
        <v/>
      </c>
      <c r="U1742" s="16"/>
      <c r="V1742" s="16"/>
      <c r="W1742" s="23"/>
      <c r="X1742" s="14"/>
      <c r="Y1742" s="15"/>
      <c r="Z1742" s="11"/>
    </row>
    <row r="1743">
      <c r="A1743" s="16"/>
      <c r="B1743" s="16"/>
      <c r="C1743" s="16"/>
      <c r="D1743" s="16"/>
      <c r="E1743" s="16"/>
      <c r="F1743" s="16"/>
      <c r="G1743" s="16"/>
      <c r="H1743" s="16"/>
      <c r="I1743" s="16"/>
      <c r="J1743" s="16"/>
      <c r="K1743" s="16"/>
      <c r="L1743" s="16"/>
      <c r="M1743" s="16"/>
      <c r="N1743" s="16"/>
      <c r="O1743" s="16"/>
      <c r="P1743" s="16"/>
      <c r="Q1743" s="16"/>
      <c r="R1743" s="11" t="str">
        <f t="shared" si="1"/>
        <v/>
      </c>
      <c r="S1743" s="16"/>
      <c r="T1743" s="13" t="str">
        <f t="shared" si="167"/>
        <v/>
      </c>
      <c r="U1743" s="16"/>
      <c r="V1743" s="16"/>
      <c r="W1743" s="23"/>
      <c r="X1743" s="14"/>
      <c r="Y1743" s="15"/>
      <c r="Z1743" s="11"/>
    </row>
    <row r="1744">
      <c r="A1744" s="16"/>
      <c r="B1744" s="16"/>
      <c r="C1744" s="16"/>
      <c r="D1744" s="16"/>
      <c r="E1744" s="16"/>
      <c r="F1744" s="16"/>
      <c r="G1744" s="16"/>
      <c r="H1744" s="16"/>
      <c r="I1744" s="16"/>
      <c r="J1744" s="16"/>
      <c r="K1744" s="16"/>
      <c r="L1744" s="16"/>
      <c r="M1744" s="16"/>
      <c r="N1744" s="16"/>
      <c r="O1744" s="16"/>
      <c r="P1744" s="16"/>
      <c r="Q1744" s="16"/>
      <c r="R1744" s="11" t="str">
        <f t="shared" si="1"/>
        <v/>
      </c>
      <c r="S1744" s="16"/>
      <c r="T1744" s="13" t="str">
        <f t="shared" si="167"/>
        <v/>
      </c>
      <c r="U1744" s="16"/>
      <c r="V1744" s="16"/>
      <c r="W1744" s="23"/>
      <c r="X1744" s="14"/>
      <c r="Y1744" s="15"/>
      <c r="Z1744" s="11"/>
    </row>
    <row r="1745">
      <c r="A1745" s="16"/>
      <c r="B1745" s="16"/>
      <c r="C1745" s="16"/>
      <c r="D1745" s="16"/>
      <c r="E1745" s="16"/>
      <c r="F1745" s="16"/>
      <c r="G1745" s="16"/>
      <c r="H1745" s="16"/>
      <c r="I1745" s="16"/>
      <c r="J1745" s="16"/>
      <c r="K1745" s="16"/>
      <c r="L1745" s="16"/>
      <c r="M1745" s="16"/>
      <c r="N1745" s="16"/>
      <c r="O1745" s="16"/>
      <c r="P1745" s="16"/>
      <c r="Q1745" s="16"/>
      <c r="R1745" s="11" t="str">
        <f t="shared" si="1"/>
        <v/>
      </c>
      <c r="S1745" s="16"/>
      <c r="T1745" s="13" t="str">
        <f t="shared" si="167"/>
        <v/>
      </c>
      <c r="U1745" s="16"/>
      <c r="V1745" s="16"/>
      <c r="W1745" s="23"/>
      <c r="X1745" s="14"/>
      <c r="Y1745" s="15"/>
      <c r="Z1745" s="11"/>
    </row>
    <row r="1746">
      <c r="A1746" s="16"/>
      <c r="B1746" s="16"/>
      <c r="C1746" s="16"/>
      <c r="D1746" s="16"/>
      <c r="E1746" s="16"/>
      <c r="F1746" s="16"/>
      <c r="G1746" s="16"/>
      <c r="H1746" s="16"/>
      <c r="I1746" s="16"/>
      <c r="J1746" s="16"/>
      <c r="K1746" s="16"/>
      <c r="L1746" s="16"/>
      <c r="M1746" s="16"/>
      <c r="N1746" s="16"/>
      <c r="O1746" s="16"/>
      <c r="P1746" s="16"/>
      <c r="Q1746" s="16"/>
      <c r="R1746" s="11" t="str">
        <f t="shared" si="1"/>
        <v/>
      </c>
      <c r="S1746" s="16"/>
      <c r="T1746" s="13" t="str">
        <f t="shared" si="167"/>
        <v/>
      </c>
      <c r="U1746" s="16"/>
      <c r="V1746" s="16"/>
      <c r="W1746" s="23"/>
      <c r="X1746" s="14"/>
      <c r="Y1746" s="15"/>
      <c r="Z1746" s="11"/>
    </row>
    <row r="1747">
      <c r="A1747" s="16"/>
      <c r="B1747" s="16"/>
      <c r="C1747" s="16"/>
      <c r="D1747" s="16"/>
      <c r="E1747" s="16"/>
      <c r="F1747" s="16"/>
      <c r="G1747" s="16"/>
      <c r="H1747" s="16"/>
      <c r="I1747" s="16"/>
      <c r="J1747" s="16"/>
      <c r="K1747" s="16"/>
      <c r="L1747" s="16"/>
      <c r="M1747" s="16"/>
      <c r="N1747" s="16"/>
      <c r="O1747" s="16"/>
      <c r="P1747" s="16"/>
      <c r="Q1747" s="16"/>
      <c r="R1747" s="13"/>
      <c r="S1747" s="16"/>
      <c r="T1747" s="36"/>
      <c r="U1747" s="16"/>
      <c r="V1747" s="16"/>
      <c r="W1747" s="23"/>
      <c r="X1747" s="14"/>
      <c r="Y1747" s="15"/>
      <c r="Z1747" s="11"/>
    </row>
    <row r="1748">
      <c r="A1748" s="16"/>
      <c r="B1748" s="16"/>
      <c r="C1748" s="16"/>
      <c r="D1748" s="16"/>
      <c r="E1748" s="16"/>
      <c r="F1748" s="16"/>
      <c r="G1748" s="16"/>
      <c r="H1748" s="16"/>
      <c r="I1748" s="16"/>
      <c r="J1748" s="16"/>
      <c r="K1748" s="16"/>
      <c r="L1748" s="16"/>
      <c r="M1748" s="16"/>
      <c r="N1748" s="16"/>
      <c r="O1748" s="16"/>
      <c r="P1748" s="16"/>
      <c r="Q1748" s="16"/>
      <c r="R1748" s="13"/>
      <c r="S1748" s="16"/>
      <c r="T1748" s="36"/>
      <c r="U1748" s="16"/>
      <c r="V1748" s="16"/>
      <c r="W1748" s="23"/>
      <c r="X1748" s="14"/>
      <c r="Y1748" s="15"/>
      <c r="Z1748" s="11"/>
    </row>
    <row r="1749">
      <c r="A1749" s="16"/>
      <c r="B1749" s="16"/>
      <c r="C1749" s="16"/>
      <c r="D1749" s="16"/>
      <c r="E1749" s="16"/>
      <c r="F1749" s="16"/>
      <c r="G1749" s="16"/>
      <c r="H1749" s="16"/>
      <c r="I1749" s="16"/>
      <c r="J1749" s="16"/>
      <c r="K1749" s="16"/>
      <c r="L1749" s="16"/>
      <c r="M1749" s="16"/>
      <c r="N1749" s="16"/>
      <c r="O1749" s="16"/>
      <c r="P1749" s="16"/>
      <c r="Q1749" s="16"/>
      <c r="R1749" s="13"/>
      <c r="S1749" s="16"/>
      <c r="T1749" s="36"/>
      <c r="U1749" s="16"/>
      <c r="V1749" s="16"/>
      <c r="W1749" s="23"/>
      <c r="X1749" s="14"/>
      <c r="Y1749" s="15"/>
      <c r="Z1749" s="11"/>
    </row>
    <row r="1750">
      <c r="A1750" s="16"/>
      <c r="B1750" s="16"/>
      <c r="C1750" s="16"/>
      <c r="D1750" s="16"/>
      <c r="E1750" s="16"/>
      <c r="F1750" s="16"/>
      <c r="G1750" s="16"/>
      <c r="H1750" s="16"/>
      <c r="I1750" s="16"/>
      <c r="J1750" s="16"/>
      <c r="K1750" s="16"/>
      <c r="L1750" s="16"/>
      <c r="M1750" s="16"/>
      <c r="N1750" s="16"/>
      <c r="O1750" s="16"/>
      <c r="P1750" s="16"/>
      <c r="Q1750" s="16"/>
      <c r="R1750" s="13"/>
      <c r="S1750" s="16"/>
      <c r="T1750" s="36"/>
      <c r="U1750" s="16"/>
      <c r="V1750" s="16"/>
      <c r="W1750" s="23"/>
      <c r="X1750" s="14"/>
      <c r="Y1750" s="15"/>
      <c r="Z1750" s="11"/>
    </row>
    <row r="1751">
      <c r="A1751" s="16"/>
      <c r="B1751" s="16"/>
      <c r="C1751" s="16"/>
      <c r="D1751" s="16"/>
      <c r="E1751" s="16"/>
      <c r="F1751" s="16"/>
      <c r="G1751" s="16"/>
      <c r="H1751" s="16"/>
      <c r="I1751" s="16"/>
      <c r="J1751" s="16"/>
      <c r="K1751" s="16"/>
      <c r="L1751" s="16"/>
      <c r="M1751" s="16"/>
      <c r="N1751" s="16"/>
      <c r="O1751" s="16"/>
      <c r="P1751" s="16"/>
      <c r="Q1751" s="16"/>
      <c r="R1751" s="13"/>
      <c r="S1751" s="16"/>
      <c r="T1751" s="36"/>
      <c r="U1751" s="16"/>
      <c r="V1751" s="16"/>
      <c r="W1751" s="23"/>
      <c r="X1751" s="14"/>
      <c r="Y1751" s="15"/>
      <c r="Z1751" s="11"/>
    </row>
    <row r="1752">
      <c r="A1752" s="16"/>
      <c r="B1752" s="16"/>
      <c r="C1752" s="16"/>
      <c r="D1752" s="16"/>
      <c r="E1752" s="16"/>
      <c r="F1752" s="16"/>
      <c r="G1752" s="16"/>
      <c r="H1752" s="16"/>
      <c r="I1752" s="16"/>
      <c r="J1752" s="16"/>
      <c r="K1752" s="16"/>
      <c r="L1752" s="16"/>
      <c r="M1752" s="16"/>
      <c r="N1752" s="16"/>
      <c r="O1752" s="16"/>
      <c r="P1752" s="16"/>
      <c r="Q1752" s="16"/>
      <c r="R1752" s="13"/>
      <c r="S1752" s="16"/>
      <c r="T1752" s="36"/>
      <c r="U1752" s="16"/>
      <c r="V1752" s="16"/>
      <c r="W1752" s="23"/>
      <c r="X1752" s="14"/>
      <c r="Y1752" s="15"/>
      <c r="Z1752" s="11"/>
    </row>
    <row r="1753">
      <c r="A1753" s="16"/>
      <c r="B1753" s="16"/>
      <c r="C1753" s="16"/>
      <c r="D1753" s="16"/>
      <c r="E1753" s="16"/>
      <c r="F1753" s="16"/>
      <c r="G1753" s="16"/>
      <c r="H1753" s="16"/>
      <c r="I1753" s="16"/>
      <c r="J1753" s="16"/>
      <c r="K1753" s="16"/>
      <c r="L1753" s="16"/>
      <c r="M1753" s="16"/>
      <c r="N1753" s="16"/>
      <c r="O1753" s="16"/>
      <c r="P1753" s="16"/>
      <c r="Q1753" s="16"/>
      <c r="R1753" s="13"/>
      <c r="S1753" s="16"/>
      <c r="T1753" s="36"/>
      <c r="U1753" s="16"/>
      <c r="V1753" s="16"/>
      <c r="W1753" s="23"/>
      <c r="X1753" s="14"/>
      <c r="Y1753" s="15"/>
      <c r="Z1753" s="11"/>
    </row>
    <row r="1754">
      <c r="A1754" s="16"/>
      <c r="B1754" s="16"/>
      <c r="C1754" s="16"/>
      <c r="D1754" s="16"/>
      <c r="E1754" s="16"/>
      <c r="F1754" s="16"/>
      <c r="G1754" s="16"/>
      <c r="H1754" s="16"/>
      <c r="I1754" s="16"/>
      <c r="J1754" s="16"/>
      <c r="K1754" s="16"/>
      <c r="L1754" s="16"/>
      <c r="M1754" s="16"/>
      <c r="N1754" s="16"/>
      <c r="O1754" s="16"/>
      <c r="P1754" s="16"/>
      <c r="Q1754" s="16"/>
      <c r="R1754" s="13"/>
      <c r="S1754" s="16"/>
      <c r="T1754" s="36"/>
      <c r="U1754" s="16"/>
      <c r="V1754" s="16"/>
      <c r="W1754" s="23"/>
      <c r="X1754" s="14"/>
      <c r="Y1754" s="15"/>
      <c r="Z1754" s="11"/>
    </row>
    <row r="1755">
      <c r="A1755" s="16"/>
      <c r="B1755" s="16"/>
      <c r="C1755" s="16"/>
      <c r="D1755" s="16"/>
      <c r="E1755" s="16"/>
      <c r="F1755" s="16"/>
      <c r="G1755" s="16"/>
      <c r="H1755" s="16"/>
      <c r="I1755" s="16"/>
      <c r="J1755" s="16"/>
      <c r="K1755" s="16"/>
      <c r="L1755" s="16"/>
      <c r="M1755" s="16"/>
      <c r="N1755" s="16"/>
      <c r="O1755" s="16"/>
      <c r="P1755" s="16"/>
      <c r="Q1755" s="16"/>
      <c r="R1755" s="13"/>
      <c r="S1755" s="16"/>
      <c r="T1755" s="36"/>
      <c r="U1755" s="16"/>
      <c r="V1755" s="16"/>
      <c r="W1755" s="23"/>
      <c r="X1755" s="14"/>
      <c r="Y1755" s="15"/>
      <c r="Z1755" s="11"/>
    </row>
    <row r="1756">
      <c r="A1756" s="16"/>
      <c r="B1756" s="16"/>
      <c r="C1756" s="16"/>
      <c r="D1756" s="16"/>
      <c r="E1756" s="16"/>
      <c r="F1756" s="16"/>
      <c r="G1756" s="16"/>
      <c r="H1756" s="16"/>
      <c r="I1756" s="16"/>
      <c r="J1756" s="16"/>
      <c r="K1756" s="16"/>
      <c r="L1756" s="16"/>
      <c r="M1756" s="16"/>
      <c r="N1756" s="16"/>
      <c r="O1756" s="16"/>
      <c r="P1756" s="16"/>
      <c r="Q1756" s="16"/>
      <c r="R1756" s="13"/>
      <c r="S1756" s="16"/>
      <c r="T1756" s="36"/>
      <c r="U1756" s="16"/>
      <c r="V1756" s="16"/>
      <c r="W1756" s="23"/>
      <c r="X1756" s="14"/>
      <c r="Y1756" s="15"/>
      <c r="Z1756" s="11"/>
    </row>
    <row r="1757">
      <c r="A1757" s="16"/>
      <c r="B1757" s="16"/>
      <c r="C1757" s="16"/>
      <c r="D1757" s="16"/>
      <c r="E1757" s="16"/>
      <c r="F1757" s="16"/>
      <c r="G1757" s="16"/>
      <c r="H1757" s="16"/>
      <c r="I1757" s="16"/>
      <c r="J1757" s="16"/>
      <c r="K1757" s="16"/>
      <c r="L1757" s="16"/>
      <c r="M1757" s="16"/>
      <c r="N1757" s="16"/>
      <c r="O1757" s="16"/>
      <c r="P1757" s="16"/>
      <c r="Q1757" s="16"/>
      <c r="R1757" s="13"/>
      <c r="S1757" s="16"/>
      <c r="T1757" s="36"/>
      <c r="U1757" s="16"/>
      <c r="V1757" s="16"/>
      <c r="W1757" s="23"/>
      <c r="X1757" s="14"/>
      <c r="Y1757" s="15"/>
      <c r="Z1757" s="11"/>
    </row>
    <row r="1758">
      <c r="A1758" s="16"/>
      <c r="B1758" s="16"/>
      <c r="C1758" s="16"/>
      <c r="D1758" s="16"/>
      <c r="E1758" s="16"/>
      <c r="F1758" s="16"/>
      <c r="G1758" s="16"/>
      <c r="H1758" s="16"/>
      <c r="I1758" s="16"/>
      <c r="J1758" s="16"/>
      <c r="K1758" s="16"/>
      <c r="L1758" s="16"/>
      <c r="M1758" s="16"/>
      <c r="N1758" s="16"/>
      <c r="O1758" s="16"/>
      <c r="P1758" s="16"/>
      <c r="Q1758" s="16"/>
      <c r="R1758" s="13"/>
      <c r="S1758" s="16"/>
      <c r="T1758" s="36"/>
      <c r="U1758" s="16"/>
      <c r="V1758" s="16"/>
      <c r="W1758" s="23"/>
      <c r="X1758" s="14"/>
      <c r="Y1758" s="15"/>
      <c r="Z1758" s="11"/>
    </row>
    <row r="1759">
      <c r="A1759" s="16"/>
      <c r="B1759" s="16"/>
      <c r="C1759" s="16"/>
      <c r="D1759" s="16"/>
      <c r="E1759" s="16"/>
      <c r="F1759" s="16"/>
      <c r="G1759" s="16"/>
      <c r="H1759" s="16"/>
      <c r="I1759" s="16"/>
      <c r="J1759" s="16"/>
      <c r="K1759" s="16"/>
      <c r="L1759" s="16"/>
      <c r="M1759" s="16"/>
      <c r="N1759" s="16"/>
      <c r="O1759" s="16"/>
      <c r="P1759" s="16"/>
      <c r="Q1759" s="16"/>
      <c r="R1759" s="13"/>
      <c r="S1759" s="16"/>
      <c r="T1759" s="36"/>
      <c r="U1759" s="16"/>
      <c r="V1759" s="16"/>
      <c r="W1759" s="23"/>
      <c r="X1759" s="14"/>
      <c r="Y1759" s="15"/>
      <c r="Z1759" s="11"/>
    </row>
    <row r="1760">
      <c r="A1760" s="16"/>
      <c r="B1760" s="16"/>
      <c r="C1760" s="16"/>
      <c r="D1760" s="16"/>
      <c r="E1760" s="16"/>
      <c r="F1760" s="16"/>
      <c r="G1760" s="16"/>
      <c r="H1760" s="16"/>
      <c r="I1760" s="16"/>
      <c r="J1760" s="16"/>
      <c r="K1760" s="16"/>
      <c r="L1760" s="16"/>
      <c r="M1760" s="16"/>
      <c r="N1760" s="16"/>
      <c r="O1760" s="16"/>
      <c r="P1760" s="16"/>
      <c r="Q1760" s="16"/>
      <c r="R1760" s="13"/>
      <c r="S1760" s="16"/>
      <c r="T1760" s="36"/>
      <c r="U1760" s="16"/>
      <c r="V1760" s="16"/>
      <c r="W1760" s="23"/>
      <c r="X1760" s="14"/>
      <c r="Y1760" s="15"/>
      <c r="Z1760" s="11"/>
    </row>
    <row r="1761">
      <c r="A1761" s="16"/>
      <c r="B1761" s="16"/>
      <c r="C1761" s="16"/>
      <c r="D1761" s="16"/>
      <c r="E1761" s="16"/>
      <c r="F1761" s="16"/>
      <c r="G1761" s="16"/>
      <c r="H1761" s="16"/>
      <c r="I1761" s="16"/>
      <c r="J1761" s="16"/>
      <c r="K1761" s="16"/>
      <c r="L1761" s="16"/>
      <c r="M1761" s="16"/>
      <c r="N1761" s="16"/>
      <c r="O1761" s="16"/>
      <c r="P1761" s="16"/>
      <c r="Q1761" s="16"/>
      <c r="R1761" s="13"/>
      <c r="S1761" s="16"/>
      <c r="T1761" s="36"/>
      <c r="U1761" s="16"/>
      <c r="V1761" s="16"/>
      <c r="W1761" s="23"/>
      <c r="X1761" s="14"/>
      <c r="Y1761" s="15"/>
      <c r="Z1761" s="11"/>
    </row>
    <row r="1762">
      <c r="A1762" s="16"/>
      <c r="B1762" s="16"/>
      <c r="C1762" s="16"/>
      <c r="D1762" s="16"/>
      <c r="E1762" s="16"/>
      <c r="F1762" s="16"/>
      <c r="G1762" s="16"/>
      <c r="H1762" s="16"/>
      <c r="I1762" s="16"/>
      <c r="J1762" s="16"/>
      <c r="K1762" s="16"/>
      <c r="L1762" s="16"/>
      <c r="M1762" s="16"/>
      <c r="N1762" s="16"/>
      <c r="O1762" s="16"/>
      <c r="P1762" s="16"/>
      <c r="Q1762" s="16"/>
      <c r="R1762" s="13"/>
      <c r="S1762" s="16"/>
      <c r="T1762" s="36"/>
      <c r="U1762" s="16"/>
      <c r="V1762" s="16"/>
      <c r="W1762" s="23"/>
      <c r="X1762" s="14"/>
      <c r="Y1762" s="15"/>
      <c r="Z1762" s="11"/>
    </row>
    <row r="1763">
      <c r="A1763" s="16"/>
      <c r="B1763" s="16"/>
      <c r="C1763" s="16"/>
      <c r="D1763" s="16"/>
      <c r="E1763" s="16"/>
      <c r="F1763" s="16"/>
      <c r="G1763" s="16"/>
      <c r="H1763" s="16"/>
      <c r="I1763" s="16"/>
      <c r="J1763" s="16"/>
      <c r="K1763" s="16"/>
      <c r="L1763" s="16"/>
      <c r="M1763" s="16"/>
      <c r="N1763" s="16"/>
      <c r="O1763" s="16"/>
      <c r="P1763" s="16"/>
      <c r="Q1763" s="16"/>
      <c r="R1763" s="13"/>
      <c r="S1763" s="16"/>
      <c r="T1763" s="36"/>
      <c r="U1763" s="16"/>
      <c r="V1763" s="16"/>
      <c r="W1763" s="23"/>
      <c r="X1763" s="14"/>
      <c r="Y1763" s="15"/>
      <c r="Z1763" s="11"/>
    </row>
    <row r="1764">
      <c r="A1764" s="16"/>
      <c r="B1764" s="16"/>
      <c r="C1764" s="16"/>
      <c r="D1764" s="16"/>
      <c r="E1764" s="16"/>
      <c r="F1764" s="16"/>
      <c r="G1764" s="16"/>
      <c r="H1764" s="16"/>
      <c r="I1764" s="16"/>
      <c r="J1764" s="16"/>
      <c r="K1764" s="16"/>
      <c r="L1764" s="16"/>
      <c r="M1764" s="16"/>
      <c r="N1764" s="16"/>
      <c r="O1764" s="16"/>
      <c r="P1764" s="16"/>
      <c r="Q1764" s="16"/>
      <c r="R1764" s="13"/>
      <c r="S1764" s="16"/>
      <c r="T1764" s="36"/>
      <c r="U1764" s="16"/>
      <c r="V1764" s="16"/>
      <c r="W1764" s="23"/>
      <c r="X1764" s="14"/>
      <c r="Y1764" s="15"/>
      <c r="Z1764" s="11"/>
    </row>
    <row r="1765">
      <c r="A1765" s="16"/>
      <c r="B1765" s="16"/>
      <c r="C1765" s="16"/>
      <c r="D1765" s="16"/>
      <c r="E1765" s="16"/>
      <c r="F1765" s="16"/>
      <c r="G1765" s="16"/>
      <c r="H1765" s="16"/>
      <c r="I1765" s="16"/>
      <c r="J1765" s="16"/>
      <c r="K1765" s="16"/>
      <c r="L1765" s="16"/>
      <c r="M1765" s="16"/>
      <c r="N1765" s="16"/>
      <c r="O1765" s="16"/>
      <c r="P1765" s="16"/>
      <c r="Q1765" s="16"/>
      <c r="R1765" s="13"/>
      <c r="S1765" s="16"/>
      <c r="T1765" s="36"/>
      <c r="U1765" s="16"/>
      <c r="V1765" s="16"/>
      <c r="W1765" s="23"/>
      <c r="X1765" s="14"/>
      <c r="Y1765" s="15"/>
      <c r="Z1765" s="11"/>
    </row>
    <row r="1766">
      <c r="A1766" s="16"/>
      <c r="B1766" s="16"/>
      <c r="C1766" s="16"/>
      <c r="D1766" s="16"/>
      <c r="E1766" s="16"/>
      <c r="F1766" s="16"/>
      <c r="G1766" s="16"/>
      <c r="H1766" s="16"/>
      <c r="I1766" s="16"/>
      <c r="J1766" s="16"/>
      <c r="K1766" s="16"/>
      <c r="L1766" s="16"/>
      <c r="M1766" s="16"/>
      <c r="N1766" s="16"/>
      <c r="O1766" s="16"/>
      <c r="P1766" s="16"/>
      <c r="Q1766" s="16"/>
      <c r="R1766" s="13"/>
      <c r="S1766" s="16"/>
      <c r="T1766" s="36"/>
      <c r="U1766" s="16"/>
      <c r="V1766" s="16"/>
      <c r="W1766" s="23"/>
      <c r="X1766" s="14"/>
      <c r="Y1766" s="15"/>
      <c r="Z1766" s="11"/>
    </row>
    <row r="1767">
      <c r="A1767" s="16"/>
      <c r="B1767" s="16"/>
      <c r="C1767" s="16"/>
      <c r="D1767" s="16"/>
      <c r="E1767" s="16"/>
      <c r="F1767" s="16"/>
      <c r="G1767" s="16"/>
      <c r="H1767" s="16"/>
      <c r="I1767" s="16"/>
      <c r="J1767" s="16"/>
      <c r="K1767" s="16"/>
      <c r="L1767" s="16"/>
      <c r="M1767" s="16"/>
      <c r="N1767" s="16"/>
      <c r="O1767" s="16"/>
      <c r="P1767" s="16"/>
      <c r="Q1767" s="16"/>
      <c r="R1767" s="13"/>
      <c r="S1767" s="16"/>
      <c r="T1767" s="36"/>
      <c r="U1767" s="16"/>
      <c r="V1767" s="16"/>
      <c r="W1767" s="23"/>
      <c r="X1767" s="14"/>
      <c r="Y1767" s="15"/>
      <c r="Z1767" s="11"/>
    </row>
    <row r="1768">
      <c r="A1768" s="16"/>
      <c r="B1768" s="16"/>
      <c r="C1768" s="16"/>
      <c r="D1768" s="16"/>
      <c r="E1768" s="16"/>
      <c r="F1768" s="16"/>
      <c r="G1768" s="16"/>
      <c r="H1768" s="16"/>
      <c r="I1768" s="16"/>
      <c r="J1768" s="16"/>
      <c r="K1768" s="16"/>
      <c r="L1768" s="16"/>
      <c r="M1768" s="16"/>
      <c r="N1768" s="16"/>
      <c r="O1768" s="16"/>
      <c r="P1768" s="16"/>
      <c r="Q1768" s="16"/>
      <c r="R1768" s="13"/>
      <c r="S1768" s="16"/>
      <c r="T1768" s="36"/>
      <c r="U1768" s="16"/>
      <c r="V1768" s="16"/>
      <c r="W1768" s="23"/>
      <c r="X1768" s="14"/>
      <c r="Y1768" s="15"/>
      <c r="Z1768" s="11"/>
    </row>
    <row r="1769">
      <c r="A1769" s="16"/>
      <c r="B1769" s="16"/>
      <c r="C1769" s="16"/>
      <c r="D1769" s="16"/>
      <c r="E1769" s="16"/>
      <c r="F1769" s="16"/>
      <c r="G1769" s="16"/>
      <c r="H1769" s="16"/>
      <c r="I1769" s="16"/>
      <c r="J1769" s="16"/>
      <c r="K1769" s="16"/>
      <c r="L1769" s="16"/>
      <c r="M1769" s="16"/>
      <c r="N1769" s="16"/>
      <c r="O1769" s="16"/>
      <c r="P1769" s="16"/>
      <c r="Q1769" s="16"/>
      <c r="R1769" s="13"/>
      <c r="S1769" s="16"/>
      <c r="T1769" s="36"/>
      <c r="U1769" s="16"/>
      <c r="V1769" s="16"/>
      <c r="W1769" s="23"/>
      <c r="X1769" s="14"/>
      <c r="Y1769" s="15"/>
      <c r="Z1769" s="11"/>
    </row>
    <row r="1770">
      <c r="A1770" s="16"/>
      <c r="B1770" s="16"/>
      <c r="C1770" s="16"/>
      <c r="D1770" s="16"/>
      <c r="E1770" s="16"/>
      <c r="F1770" s="16"/>
      <c r="G1770" s="16"/>
      <c r="H1770" s="16"/>
      <c r="I1770" s="16"/>
      <c r="J1770" s="16"/>
      <c r="K1770" s="16"/>
      <c r="L1770" s="16"/>
      <c r="M1770" s="16"/>
      <c r="N1770" s="16"/>
      <c r="O1770" s="16"/>
      <c r="P1770" s="16"/>
      <c r="Q1770" s="16"/>
      <c r="R1770" s="13"/>
      <c r="S1770" s="16"/>
      <c r="T1770" s="36"/>
      <c r="U1770" s="16"/>
      <c r="V1770" s="16"/>
      <c r="W1770" s="23"/>
      <c r="X1770" s="14"/>
      <c r="Y1770" s="15"/>
      <c r="Z1770" s="11"/>
    </row>
    <row r="1771">
      <c r="A1771" s="16"/>
      <c r="B1771" s="16"/>
      <c r="C1771" s="16"/>
      <c r="D1771" s="16"/>
      <c r="E1771" s="16"/>
      <c r="F1771" s="16"/>
      <c r="G1771" s="16"/>
      <c r="H1771" s="16"/>
      <c r="I1771" s="16"/>
      <c r="J1771" s="16"/>
      <c r="K1771" s="16"/>
      <c r="L1771" s="16"/>
      <c r="M1771" s="16"/>
      <c r="N1771" s="16"/>
      <c r="O1771" s="16"/>
      <c r="P1771" s="16"/>
      <c r="Q1771" s="16"/>
      <c r="R1771" s="13"/>
      <c r="S1771" s="16"/>
      <c r="T1771" s="36"/>
      <c r="U1771" s="16"/>
      <c r="V1771" s="16"/>
      <c r="W1771" s="23"/>
      <c r="X1771" s="14"/>
      <c r="Y1771" s="15"/>
      <c r="Z1771" s="11"/>
    </row>
    <row r="1772">
      <c r="A1772" s="16"/>
      <c r="B1772" s="16"/>
      <c r="C1772" s="16"/>
      <c r="D1772" s="16"/>
      <c r="E1772" s="16"/>
      <c r="F1772" s="16"/>
      <c r="G1772" s="16"/>
      <c r="H1772" s="16"/>
      <c r="I1772" s="16"/>
      <c r="J1772" s="16"/>
      <c r="K1772" s="16"/>
      <c r="L1772" s="16"/>
      <c r="M1772" s="16"/>
      <c r="N1772" s="16"/>
      <c r="O1772" s="16"/>
      <c r="P1772" s="16"/>
      <c r="Q1772" s="16"/>
      <c r="R1772" s="13"/>
      <c r="S1772" s="16"/>
      <c r="T1772" s="36"/>
      <c r="U1772" s="16"/>
      <c r="V1772" s="16"/>
      <c r="W1772" s="23"/>
      <c r="X1772" s="14"/>
      <c r="Y1772" s="15"/>
      <c r="Z1772" s="11"/>
    </row>
    <row r="1773">
      <c r="A1773" s="16"/>
      <c r="B1773" s="16"/>
      <c r="C1773" s="16"/>
      <c r="D1773" s="16"/>
      <c r="E1773" s="16"/>
      <c r="F1773" s="16"/>
      <c r="G1773" s="16"/>
      <c r="H1773" s="16"/>
      <c r="I1773" s="16"/>
      <c r="J1773" s="16"/>
      <c r="K1773" s="16"/>
      <c r="L1773" s="16"/>
      <c r="M1773" s="16"/>
      <c r="N1773" s="16"/>
      <c r="O1773" s="16"/>
      <c r="P1773" s="16"/>
      <c r="Q1773" s="16"/>
      <c r="R1773" s="13"/>
      <c r="S1773" s="16"/>
      <c r="T1773" s="36"/>
      <c r="U1773" s="16"/>
      <c r="V1773" s="16"/>
      <c r="W1773" s="23"/>
      <c r="X1773" s="14"/>
      <c r="Y1773" s="15"/>
      <c r="Z1773" s="11"/>
    </row>
    <row r="1774">
      <c r="A1774" s="16"/>
      <c r="B1774" s="16"/>
      <c r="C1774" s="16"/>
      <c r="D1774" s="16"/>
      <c r="E1774" s="16"/>
      <c r="F1774" s="16"/>
      <c r="G1774" s="16"/>
      <c r="H1774" s="16"/>
      <c r="I1774" s="16"/>
      <c r="J1774" s="16"/>
      <c r="K1774" s="16"/>
      <c r="L1774" s="16"/>
      <c r="M1774" s="16"/>
      <c r="N1774" s="16"/>
      <c r="O1774" s="16"/>
      <c r="P1774" s="16"/>
      <c r="Q1774" s="16"/>
      <c r="R1774" s="13"/>
      <c r="S1774" s="16"/>
      <c r="T1774" s="36"/>
      <c r="U1774" s="16"/>
      <c r="V1774" s="16"/>
      <c r="W1774" s="23"/>
      <c r="X1774" s="14"/>
      <c r="Y1774" s="15"/>
      <c r="Z1774" s="11"/>
    </row>
    <row r="1775">
      <c r="A1775" s="16"/>
      <c r="B1775" s="16"/>
      <c r="C1775" s="16"/>
      <c r="D1775" s="16"/>
      <c r="E1775" s="16"/>
      <c r="F1775" s="16"/>
      <c r="G1775" s="16"/>
      <c r="H1775" s="16"/>
      <c r="I1775" s="16"/>
      <c r="J1775" s="16"/>
      <c r="K1775" s="16"/>
      <c r="L1775" s="16"/>
      <c r="M1775" s="16"/>
      <c r="N1775" s="16"/>
      <c r="O1775" s="16"/>
      <c r="P1775" s="16"/>
      <c r="Q1775" s="16"/>
      <c r="R1775" s="13"/>
      <c r="S1775" s="16"/>
      <c r="T1775" s="36"/>
      <c r="U1775" s="16"/>
      <c r="V1775" s="16"/>
      <c r="W1775" s="23"/>
      <c r="X1775" s="14"/>
      <c r="Y1775" s="15"/>
      <c r="Z1775" s="11"/>
    </row>
    <row r="1776">
      <c r="A1776" s="16"/>
      <c r="B1776" s="16"/>
      <c r="C1776" s="16"/>
      <c r="D1776" s="16"/>
      <c r="E1776" s="16"/>
      <c r="F1776" s="16"/>
      <c r="G1776" s="16"/>
      <c r="H1776" s="16"/>
      <c r="I1776" s="16"/>
      <c r="J1776" s="16"/>
      <c r="K1776" s="16"/>
      <c r="L1776" s="16"/>
      <c r="M1776" s="16"/>
      <c r="N1776" s="16"/>
      <c r="O1776" s="16"/>
      <c r="P1776" s="16"/>
      <c r="Q1776" s="16"/>
      <c r="R1776" s="13"/>
      <c r="S1776" s="16"/>
      <c r="T1776" s="36"/>
      <c r="U1776" s="16"/>
      <c r="V1776" s="16"/>
      <c r="W1776" s="23"/>
      <c r="X1776" s="14"/>
      <c r="Y1776" s="15"/>
      <c r="Z1776" s="11"/>
    </row>
    <row r="1777">
      <c r="A1777" s="16"/>
      <c r="B1777" s="16"/>
      <c r="C1777" s="16"/>
      <c r="D1777" s="16"/>
      <c r="E1777" s="16"/>
      <c r="F1777" s="16"/>
      <c r="G1777" s="16"/>
      <c r="H1777" s="16"/>
      <c r="I1777" s="16"/>
      <c r="J1777" s="16"/>
      <c r="K1777" s="16"/>
      <c r="L1777" s="16"/>
      <c r="M1777" s="16"/>
      <c r="N1777" s="16"/>
      <c r="O1777" s="16"/>
      <c r="P1777" s="16"/>
      <c r="Q1777" s="16"/>
      <c r="R1777" s="13"/>
      <c r="S1777" s="16"/>
      <c r="T1777" s="36"/>
      <c r="U1777" s="16"/>
      <c r="V1777" s="16"/>
      <c r="W1777" s="23"/>
      <c r="X1777" s="14"/>
      <c r="Y1777" s="15"/>
      <c r="Z1777" s="11"/>
    </row>
    <row r="1778">
      <c r="A1778" s="16"/>
      <c r="B1778" s="16"/>
      <c r="C1778" s="16"/>
      <c r="D1778" s="16"/>
      <c r="E1778" s="16"/>
      <c r="F1778" s="16"/>
      <c r="G1778" s="16"/>
      <c r="H1778" s="16"/>
      <c r="I1778" s="16"/>
      <c r="J1778" s="16"/>
      <c r="K1778" s="16"/>
      <c r="L1778" s="16"/>
      <c r="M1778" s="16"/>
      <c r="N1778" s="16"/>
      <c r="O1778" s="16"/>
      <c r="P1778" s="16"/>
      <c r="Q1778" s="16"/>
      <c r="R1778" s="13"/>
      <c r="S1778" s="16"/>
      <c r="T1778" s="36"/>
      <c r="U1778" s="16"/>
      <c r="V1778" s="16"/>
      <c r="W1778" s="23"/>
      <c r="X1778" s="14"/>
      <c r="Y1778" s="15"/>
      <c r="Z1778" s="11"/>
    </row>
    <row r="1779">
      <c r="A1779" s="16"/>
      <c r="B1779" s="16"/>
      <c r="C1779" s="16"/>
      <c r="D1779" s="16"/>
      <c r="E1779" s="16"/>
      <c r="F1779" s="16"/>
      <c r="G1779" s="16"/>
      <c r="H1779" s="16"/>
      <c r="I1779" s="16"/>
      <c r="J1779" s="16"/>
      <c r="K1779" s="16"/>
      <c r="L1779" s="16"/>
      <c r="M1779" s="16"/>
      <c r="N1779" s="16"/>
      <c r="O1779" s="16"/>
      <c r="P1779" s="16"/>
      <c r="Q1779" s="16"/>
      <c r="R1779" s="13"/>
      <c r="S1779" s="16"/>
      <c r="T1779" s="36"/>
      <c r="U1779" s="16"/>
      <c r="V1779" s="16"/>
      <c r="W1779" s="23"/>
      <c r="X1779" s="14"/>
      <c r="Y1779" s="15"/>
      <c r="Z1779" s="11"/>
    </row>
    <row r="1780">
      <c r="A1780" s="16"/>
      <c r="B1780" s="16"/>
      <c r="C1780" s="16"/>
      <c r="D1780" s="16"/>
      <c r="E1780" s="16"/>
      <c r="F1780" s="16"/>
      <c r="G1780" s="16"/>
      <c r="H1780" s="16"/>
      <c r="I1780" s="16"/>
      <c r="J1780" s="16"/>
      <c r="K1780" s="16"/>
      <c r="L1780" s="16"/>
      <c r="M1780" s="16"/>
      <c r="N1780" s="16"/>
      <c r="O1780" s="16"/>
      <c r="P1780" s="16"/>
      <c r="Q1780" s="16"/>
      <c r="R1780" s="13"/>
      <c r="S1780" s="16"/>
      <c r="T1780" s="36"/>
      <c r="U1780" s="16"/>
      <c r="V1780" s="16"/>
      <c r="W1780" s="23"/>
      <c r="X1780" s="14"/>
      <c r="Y1780" s="15"/>
      <c r="Z1780" s="11"/>
    </row>
    <row r="1781">
      <c r="A1781" s="16"/>
      <c r="B1781" s="16"/>
      <c r="C1781" s="16"/>
      <c r="D1781" s="16"/>
      <c r="E1781" s="16"/>
      <c r="F1781" s="16"/>
      <c r="G1781" s="16"/>
      <c r="H1781" s="16"/>
      <c r="I1781" s="16"/>
      <c r="J1781" s="16"/>
      <c r="K1781" s="16"/>
      <c r="L1781" s="16"/>
      <c r="M1781" s="16"/>
      <c r="N1781" s="16"/>
      <c r="O1781" s="16"/>
      <c r="P1781" s="16"/>
      <c r="Q1781" s="16"/>
      <c r="R1781" s="13"/>
      <c r="S1781" s="16"/>
      <c r="T1781" s="36"/>
      <c r="U1781" s="16"/>
      <c r="V1781" s="16"/>
      <c r="W1781" s="23"/>
      <c r="X1781" s="14"/>
      <c r="Y1781" s="15"/>
      <c r="Z1781" s="11"/>
    </row>
    <row r="1782">
      <c r="A1782" s="16"/>
      <c r="B1782" s="16"/>
      <c r="C1782" s="16"/>
      <c r="D1782" s="16"/>
      <c r="E1782" s="16"/>
      <c r="F1782" s="16"/>
      <c r="G1782" s="16"/>
      <c r="H1782" s="16"/>
      <c r="I1782" s="16"/>
      <c r="J1782" s="16"/>
      <c r="K1782" s="16"/>
      <c r="L1782" s="16"/>
      <c r="M1782" s="16"/>
      <c r="N1782" s="16"/>
      <c r="O1782" s="16"/>
      <c r="P1782" s="16"/>
      <c r="Q1782" s="16"/>
      <c r="R1782" s="13"/>
      <c r="S1782" s="16"/>
      <c r="T1782" s="36"/>
      <c r="U1782" s="16"/>
      <c r="V1782" s="16"/>
      <c r="W1782" s="23"/>
      <c r="X1782" s="14"/>
      <c r="Y1782" s="15"/>
      <c r="Z1782" s="11"/>
    </row>
    <row r="1783">
      <c r="A1783" s="16"/>
      <c r="B1783" s="16"/>
      <c r="C1783" s="16"/>
      <c r="D1783" s="16"/>
      <c r="E1783" s="16"/>
      <c r="F1783" s="16"/>
      <c r="G1783" s="16"/>
      <c r="H1783" s="16"/>
      <c r="I1783" s="16"/>
      <c r="J1783" s="16"/>
      <c r="K1783" s="16"/>
      <c r="L1783" s="16"/>
      <c r="M1783" s="16"/>
      <c r="N1783" s="16"/>
      <c r="O1783" s="16"/>
      <c r="P1783" s="16"/>
      <c r="Q1783" s="16"/>
      <c r="R1783" s="13"/>
      <c r="S1783" s="16"/>
      <c r="T1783" s="36"/>
      <c r="U1783" s="16"/>
      <c r="V1783" s="16"/>
      <c r="W1783" s="23"/>
      <c r="X1783" s="14"/>
      <c r="Y1783" s="15"/>
      <c r="Z1783" s="11"/>
    </row>
    <row r="1784">
      <c r="A1784" s="16"/>
      <c r="B1784" s="16"/>
      <c r="C1784" s="16"/>
      <c r="D1784" s="16"/>
      <c r="E1784" s="16"/>
      <c r="F1784" s="16"/>
      <c r="G1784" s="16"/>
      <c r="H1784" s="16"/>
      <c r="I1784" s="16"/>
      <c r="J1784" s="16"/>
      <c r="K1784" s="16"/>
      <c r="L1784" s="16"/>
      <c r="M1784" s="16"/>
      <c r="N1784" s="16"/>
      <c r="O1784" s="16"/>
      <c r="P1784" s="16"/>
      <c r="Q1784" s="16"/>
      <c r="R1784" s="13"/>
      <c r="S1784" s="16"/>
      <c r="T1784" s="36"/>
      <c r="U1784" s="16"/>
      <c r="V1784" s="16"/>
      <c r="W1784" s="23"/>
      <c r="X1784" s="14"/>
      <c r="Y1784" s="15"/>
      <c r="Z1784" s="11"/>
    </row>
    <row r="1785">
      <c r="A1785" s="16"/>
      <c r="B1785" s="16"/>
      <c r="C1785" s="16"/>
      <c r="D1785" s="16"/>
      <c r="E1785" s="16"/>
      <c r="F1785" s="16"/>
      <c r="G1785" s="16"/>
      <c r="H1785" s="16"/>
      <c r="I1785" s="16"/>
      <c r="J1785" s="16"/>
      <c r="K1785" s="16"/>
      <c r="L1785" s="16"/>
      <c r="M1785" s="16"/>
      <c r="N1785" s="16"/>
      <c r="O1785" s="16"/>
      <c r="P1785" s="16"/>
      <c r="Q1785" s="16"/>
      <c r="R1785" s="13"/>
      <c r="S1785" s="16"/>
      <c r="T1785" s="36"/>
      <c r="U1785" s="16"/>
      <c r="V1785" s="16"/>
      <c r="W1785" s="23"/>
      <c r="X1785" s="14"/>
      <c r="Y1785" s="15"/>
      <c r="Z1785" s="11"/>
    </row>
    <row r="1786">
      <c r="A1786" s="16"/>
      <c r="B1786" s="16"/>
      <c r="C1786" s="16"/>
      <c r="D1786" s="16"/>
      <c r="E1786" s="16"/>
      <c r="F1786" s="16"/>
      <c r="G1786" s="16"/>
      <c r="H1786" s="16"/>
      <c r="I1786" s="16"/>
      <c r="J1786" s="16"/>
      <c r="K1786" s="16"/>
      <c r="L1786" s="16"/>
      <c r="M1786" s="16"/>
      <c r="N1786" s="16"/>
      <c r="O1786" s="16"/>
      <c r="P1786" s="16"/>
      <c r="Q1786" s="16"/>
      <c r="R1786" s="13"/>
      <c r="S1786" s="16"/>
      <c r="T1786" s="36"/>
      <c r="U1786" s="16"/>
      <c r="V1786" s="16"/>
      <c r="W1786" s="23"/>
      <c r="X1786" s="14"/>
      <c r="Y1786" s="15"/>
      <c r="Z1786" s="11"/>
    </row>
    <row r="1787">
      <c r="A1787" s="16"/>
      <c r="B1787" s="16"/>
      <c r="C1787" s="16"/>
      <c r="D1787" s="16"/>
      <c r="E1787" s="16"/>
      <c r="F1787" s="16"/>
      <c r="G1787" s="16"/>
      <c r="H1787" s="16"/>
      <c r="I1787" s="16"/>
      <c r="J1787" s="16"/>
      <c r="K1787" s="16"/>
      <c r="L1787" s="16"/>
      <c r="M1787" s="16"/>
      <c r="N1787" s="16"/>
      <c r="O1787" s="16"/>
      <c r="P1787" s="16"/>
      <c r="Q1787" s="16"/>
      <c r="R1787" s="13"/>
      <c r="S1787" s="16"/>
      <c r="T1787" s="36"/>
      <c r="U1787" s="16"/>
      <c r="V1787" s="16"/>
      <c r="W1787" s="23"/>
      <c r="X1787" s="14"/>
      <c r="Y1787" s="15"/>
      <c r="Z1787" s="11"/>
    </row>
    <row r="1788">
      <c r="A1788" s="16"/>
      <c r="B1788" s="16"/>
      <c r="C1788" s="16"/>
      <c r="D1788" s="16"/>
      <c r="E1788" s="16"/>
      <c r="F1788" s="16"/>
      <c r="G1788" s="16"/>
      <c r="H1788" s="16"/>
      <c r="I1788" s="16"/>
      <c r="J1788" s="16"/>
      <c r="K1788" s="16"/>
      <c r="L1788" s="16"/>
      <c r="M1788" s="16"/>
      <c r="N1788" s="16"/>
      <c r="O1788" s="16"/>
      <c r="P1788" s="16"/>
      <c r="Q1788" s="16"/>
      <c r="R1788" s="13"/>
      <c r="S1788" s="16"/>
      <c r="T1788" s="36"/>
      <c r="U1788" s="16"/>
      <c r="V1788" s="16"/>
      <c r="W1788" s="23"/>
      <c r="X1788" s="14"/>
      <c r="Y1788" s="15"/>
      <c r="Z1788" s="11"/>
    </row>
    <row r="1789">
      <c r="A1789" s="16"/>
      <c r="B1789" s="16"/>
      <c r="C1789" s="16"/>
      <c r="D1789" s="16"/>
      <c r="E1789" s="16"/>
      <c r="F1789" s="16"/>
      <c r="G1789" s="16"/>
      <c r="H1789" s="16"/>
      <c r="I1789" s="16"/>
      <c r="J1789" s="16"/>
      <c r="K1789" s="16"/>
      <c r="L1789" s="16"/>
      <c r="M1789" s="16"/>
      <c r="N1789" s="16"/>
      <c r="O1789" s="16"/>
      <c r="P1789" s="16"/>
      <c r="Q1789" s="16"/>
      <c r="R1789" s="13"/>
      <c r="S1789" s="16"/>
      <c r="T1789" s="36"/>
      <c r="U1789" s="16"/>
      <c r="V1789" s="16"/>
      <c r="W1789" s="23"/>
      <c r="X1789" s="14"/>
      <c r="Y1789" s="15"/>
      <c r="Z1789" s="11"/>
    </row>
    <row r="1790">
      <c r="A1790" s="16"/>
      <c r="B1790" s="16"/>
      <c r="C1790" s="16"/>
      <c r="D1790" s="16"/>
      <c r="E1790" s="16"/>
      <c r="F1790" s="16"/>
      <c r="G1790" s="16"/>
      <c r="H1790" s="16"/>
      <c r="I1790" s="16"/>
      <c r="J1790" s="16"/>
      <c r="K1790" s="16"/>
      <c r="L1790" s="16"/>
      <c r="M1790" s="16"/>
      <c r="N1790" s="16"/>
      <c r="O1790" s="16"/>
      <c r="P1790" s="16"/>
      <c r="Q1790" s="16"/>
      <c r="R1790" s="13"/>
      <c r="S1790" s="16"/>
      <c r="T1790" s="36"/>
      <c r="U1790" s="16"/>
      <c r="V1790" s="16"/>
      <c r="W1790" s="23"/>
      <c r="X1790" s="14"/>
      <c r="Y1790" s="15"/>
      <c r="Z1790" s="11"/>
    </row>
    <row r="1791">
      <c r="A1791" s="16"/>
      <c r="B1791" s="16"/>
      <c r="C1791" s="16"/>
      <c r="D1791" s="16"/>
      <c r="E1791" s="16"/>
      <c r="F1791" s="16"/>
      <c r="G1791" s="16"/>
      <c r="H1791" s="16"/>
      <c r="I1791" s="16"/>
      <c r="J1791" s="16"/>
      <c r="K1791" s="16"/>
      <c r="L1791" s="16"/>
      <c r="M1791" s="16"/>
      <c r="N1791" s="16"/>
      <c r="O1791" s="16"/>
      <c r="P1791" s="16"/>
      <c r="Q1791" s="16"/>
      <c r="R1791" s="13"/>
      <c r="S1791" s="16"/>
      <c r="T1791" s="36"/>
      <c r="U1791" s="16"/>
      <c r="V1791" s="16"/>
      <c r="W1791" s="23"/>
      <c r="X1791" s="14"/>
      <c r="Y1791" s="15"/>
      <c r="Z1791" s="11"/>
    </row>
    <row r="1792">
      <c r="A1792" s="16"/>
      <c r="B1792" s="16"/>
      <c r="C1792" s="16"/>
      <c r="D1792" s="16"/>
      <c r="E1792" s="16"/>
      <c r="F1792" s="16"/>
      <c r="G1792" s="16"/>
      <c r="H1792" s="16"/>
      <c r="I1792" s="16"/>
      <c r="J1792" s="16"/>
      <c r="K1792" s="16"/>
      <c r="L1792" s="16"/>
      <c r="M1792" s="16"/>
      <c r="N1792" s="16"/>
      <c r="O1792" s="16"/>
      <c r="P1792" s="16"/>
      <c r="Q1792" s="16"/>
      <c r="R1792" s="13"/>
      <c r="S1792" s="16"/>
      <c r="T1792" s="36"/>
      <c r="U1792" s="16"/>
      <c r="V1792" s="16"/>
      <c r="W1792" s="23"/>
      <c r="X1792" s="14"/>
      <c r="Y1792" s="15"/>
      <c r="Z1792" s="11"/>
    </row>
    <row r="1793">
      <c r="A1793" s="16"/>
      <c r="B1793" s="16"/>
      <c r="C1793" s="16"/>
      <c r="D1793" s="16"/>
      <c r="E1793" s="16"/>
      <c r="F1793" s="16"/>
      <c r="G1793" s="16"/>
      <c r="H1793" s="16"/>
      <c r="I1793" s="16"/>
      <c r="J1793" s="16"/>
      <c r="K1793" s="16"/>
      <c r="L1793" s="16"/>
      <c r="M1793" s="16"/>
      <c r="N1793" s="16"/>
      <c r="O1793" s="16"/>
      <c r="P1793" s="16"/>
      <c r="Q1793" s="16"/>
      <c r="R1793" s="13"/>
      <c r="S1793" s="16"/>
      <c r="T1793" s="36"/>
      <c r="U1793" s="16"/>
      <c r="V1793" s="16"/>
      <c r="W1793" s="23"/>
      <c r="X1793" s="14"/>
      <c r="Y1793" s="15"/>
      <c r="Z1793" s="11"/>
    </row>
    <row r="1794">
      <c r="A1794" s="16"/>
      <c r="B1794" s="16"/>
      <c r="C1794" s="16"/>
      <c r="D1794" s="16"/>
      <c r="E1794" s="16"/>
      <c r="F1794" s="16"/>
      <c r="G1794" s="16"/>
      <c r="H1794" s="16"/>
      <c r="I1794" s="16"/>
      <c r="J1794" s="16"/>
      <c r="K1794" s="16"/>
      <c r="L1794" s="16"/>
      <c r="M1794" s="16"/>
      <c r="N1794" s="16"/>
      <c r="O1794" s="16"/>
      <c r="P1794" s="16"/>
      <c r="Q1794" s="16"/>
      <c r="R1794" s="13"/>
      <c r="S1794" s="16"/>
      <c r="T1794" s="36"/>
      <c r="U1794" s="16"/>
      <c r="V1794" s="16"/>
      <c r="W1794" s="23"/>
      <c r="X1794" s="14"/>
      <c r="Y1794" s="15"/>
      <c r="Z1794" s="11"/>
    </row>
    <row r="1795">
      <c r="A1795" s="16"/>
      <c r="B1795" s="16"/>
      <c r="C1795" s="16"/>
      <c r="D1795" s="16"/>
      <c r="E1795" s="16"/>
      <c r="F1795" s="16"/>
      <c r="G1795" s="16"/>
      <c r="H1795" s="16"/>
      <c r="I1795" s="16"/>
      <c r="J1795" s="16"/>
      <c r="K1795" s="16"/>
      <c r="L1795" s="16"/>
      <c r="M1795" s="16"/>
      <c r="N1795" s="16"/>
      <c r="O1795" s="16"/>
      <c r="P1795" s="16"/>
      <c r="Q1795" s="16"/>
      <c r="R1795" s="13"/>
      <c r="S1795" s="16"/>
      <c r="T1795" s="36"/>
      <c r="U1795" s="16"/>
      <c r="V1795" s="16"/>
      <c r="W1795" s="23"/>
      <c r="X1795" s="14"/>
      <c r="Y1795" s="15"/>
      <c r="Z1795" s="11"/>
    </row>
    <row r="1796">
      <c r="A1796" s="16"/>
      <c r="B1796" s="16"/>
      <c r="C1796" s="16"/>
      <c r="D1796" s="16"/>
      <c r="E1796" s="16"/>
      <c r="F1796" s="16"/>
      <c r="G1796" s="16"/>
      <c r="H1796" s="16"/>
      <c r="I1796" s="16"/>
      <c r="J1796" s="16"/>
      <c r="K1796" s="16"/>
      <c r="L1796" s="16"/>
      <c r="M1796" s="16"/>
      <c r="N1796" s="16"/>
      <c r="O1796" s="16"/>
      <c r="P1796" s="16"/>
      <c r="Q1796" s="16"/>
      <c r="R1796" s="13"/>
      <c r="S1796" s="16"/>
      <c r="T1796" s="36"/>
      <c r="U1796" s="16"/>
      <c r="V1796" s="16"/>
      <c r="W1796" s="23"/>
      <c r="X1796" s="14"/>
      <c r="Y1796" s="15"/>
      <c r="Z1796" s="11"/>
    </row>
    <row r="1797">
      <c r="A1797" s="16"/>
      <c r="B1797" s="16"/>
      <c r="C1797" s="16"/>
      <c r="D1797" s="16"/>
      <c r="E1797" s="16"/>
      <c r="F1797" s="16"/>
      <c r="G1797" s="16"/>
      <c r="H1797" s="16"/>
      <c r="I1797" s="16"/>
      <c r="J1797" s="16"/>
      <c r="K1797" s="16"/>
      <c r="L1797" s="16"/>
      <c r="M1797" s="16"/>
      <c r="N1797" s="16"/>
      <c r="O1797" s="16"/>
      <c r="P1797" s="16"/>
      <c r="Q1797" s="16"/>
      <c r="R1797" s="13"/>
      <c r="S1797" s="16"/>
      <c r="T1797" s="36"/>
      <c r="U1797" s="16"/>
      <c r="V1797" s="16"/>
      <c r="W1797" s="23"/>
      <c r="X1797" s="14"/>
      <c r="Y1797" s="15"/>
      <c r="Z1797" s="11"/>
    </row>
    <row r="1798">
      <c r="A1798" s="16"/>
      <c r="B1798" s="16"/>
      <c r="C1798" s="16"/>
      <c r="D1798" s="16"/>
      <c r="E1798" s="16"/>
      <c r="F1798" s="16"/>
      <c r="G1798" s="16"/>
      <c r="H1798" s="16"/>
      <c r="I1798" s="16"/>
      <c r="J1798" s="16"/>
      <c r="K1798" s="16"/>
      <c r="L1798" s="16"/>
      <c r="M1798" s="16"/>
      <c r="N1798" s="16"/>
      <c r="O1798" s="16"/>
      <c r="P1798" s="16"/>
      <c r="Q1798" s="16"/>
      <c r="R1798" s="13"/>
      <c r="S1798" s="16"/>
      <c r="T1798" s="36"/>
      <c r="U1798" s="16"/>
      <c r="V1798" s="16"/>
      <c r="W1798" s="23"/>
      <c r="X1798" s="14"/>
      <c r="Y1798" s="15"/>
      <c r="Z1798" s="11"/>
    </row>
    <row r="1799">
      <c r="A1799" s="16"/>
      <c r="B1799" s="16"/>
      <c r="C1799" s="16"/>
      <c r="D1799" s="16"/>
      <c r="E1799" s="16"/>
      <c r="F1799" s="16"/>
      <c r="G1799" s="16"/>
      <c r="H1799" s="16"/>
      <c r="I1799" s="16"/>
      <c r="J1799" s="16"/>
      <c r="K1799" s="16"/>
      <c r="L1799" s="16"/>
      <c r="M1799" s="16"/>
      <c r="N1799" s="16"/>
      <c r="O1799" s="16"/>
      <c r="P1799" s="16"/>
      <c r="Q1799" s="16"/>
      <c r="R1799" s="13"/>
      <c r="S1799" s="16"/>
      <c r="T1799" s="36"/>
      <c r="U1799" s="16"/>
      <c r="V1799" s="16"/>
      <c r="W1799" s="23"/>
      <c r="X1799" s="14"/>
      <c r="Y1799" s="15"/>
      <c r="Z1799" s="11"/>
    </row>
    <row r="1800">
      <c r="A1800" s="16"/>
      <c r="B1800" s="16"/>
      <c r="C1800" s="16"/>
      <c r="D1800" s="16"/>
      <c r="E1800" s="16"/>
      <c r="F1800" s="16"/>
      <c r="G1800" s="16"/>
      <c r="H1800" s="16"/>
      <c r="I1800" s="16"/>
      <c r="J1800" s="16"/>
      <c r="K1800" s="16"/>
      <c r="L1800" s="16"/>
      <c r="M1800" s="16"/>
      <c r="N1800" s="16"/>
      <c r="O1800" s="16"/>
      <c r="P1800" s="16"/>
      <c r="Q1800" s="16"/>
      <c r="R1800" s="13"/>
      <c r="S1800" s="16"/>
      <c r="T1800" s="36"/>
      <c r="U1800" s="16"/>
      <c r="V1800" s="16"/>
      <c r="W1800" s="23"/>
      <c r="X1800" s="14"/>
      <c r="Y1800" s="15"/>
      <c r="Z1800" s="11"/>
    </row>
    <row r="1801">
      <c r="A1801" s="16"/>
      <c r="B1801" s="16"/>
      <c r="C1801" s="16"/>
      <c r="D1801" s="16"/>
      <c r="E1801" s="16"/>
      <c r="F1801" s="16"/>
      <c r="G1801" s="16"/>
      <c r="H1801" s="16"/>
      <c r="I1801" s="16"/>
      <c r="J1801" s="16"/>
      <c r="K1801" s="16"/>
      <c r="L1801" s="16"/>
      <c r="M1801" s="16"/>
      <c r="N1801" s="16"/>
      <c r="O1801" s="16"/>
      <c r="P1801" s="16"/>
      <c r="Q1801" s="16"/>
      <c r="R1801" s="13"/>
      <c r="S1801" s="16"/>
      <c r="T1801" s="36"/>
      <c r="U1801" s="16"/>
      <c r="V1801" s="16"/>
      <c r="W1801" s="23"/>
      <c r="X1801" s="14"/>
      <c r="Y1801" s="15"/>
      <c r="Z1801" s="11"/>
    </row>
    <row r="1802">
      <c r="A1802" s="16"/>
      <c r="B1802" s="16"/>
      <c r="C1802" s="16"/>
      <c r="D1802" s="16"/>
      <c r="E1802" s="16"/>
      <c r="F1802" s="16"/>
      <c r="G1802" s="16"/>
      <c r="H1802" s="16"/>
      <c r="I1802" s="16"/>
      <c r="J1802" s="16"/>
      <c r="K1802" s="16"/>
      <c r="L1802" s="16"/>
      <c r="M1802" s="16"/>
      <c r="N1802" s="16"/>
      <c r="O1802" s="16"/>
      <c r="P1802" s="16"/>
      <c r="Q1802" s="16"/>
      <c r="R1802" s="13"/>
      <c r="S1802" s="16"/>
      <c r="T1802" s="36"/>
      <c r="U1802" s="16"/>
      <c r="V1802" s="16"/>
      <c r="W1802" s="23"/>
      <c r="X1802" s="14"/>
      <c r="Y1802" s="15"/>
      <c r="Z1802" s="11"/>
    </row>
    <row r="1803">
      <c r="A1803" s="16"/>
      <c r="B1803" s="16"/>
      <c r="C1803" s="16"/>
      <c r="D1803" s="16"/>
      <c r="E1803" s="16"/>
      <c r="F1803" s="16"/>
      <c r="G1803" s="16"/>
      <c r="H1803" s="16"/>
      <c r="I1803" s="16"/>
      <c r="J1803" s="16"/>
      <c r="K1803" s="16"/>
      <c r="L1803" s="16"/>
      <c r="M1803" s="16"/>
      <c r="N1803" s="16"/>
      <c r="O1803" s="16"/>
      <c r="P1803" s="16"/>
      <c r="Q1803" s="16"/>
      <c r="R1803" s="13"/>
      <c r="S1803" s="16"/>
      <c r="T1803" s="36"/>
      <c r="U1803" s="16"/>
      <c r="V1803" s="16"/>
      <c r="W1803" s="23"/>
      <c r="X1803" s="14"/>
      <c r="Y1803" s="15"/>
      <c r="Z1803" s="11"/>
    </row>
    <row r="1804">
      <c r="A1804" s="16"/>
      <c r="B1804" s="16"/>
      <c r="C1804" s="16"/>
      <c r="D1804" s="16"/>
      <c r="E1804" s="16"/>
      <c r="F1804" s="16"/>
      <c r="G1804" s="16"/>
      <c r="H1804" s="16"/>
      <c r="I1804" s="16"/>
      <c r="J1804" s="16"/>
      <c r="K1804" s="16"/>
      <c r="L1804" s="16"/>
      <c r="M1804" s="16"/>
      <c r="N1804" s="16"/>
      <c r="O1804" s="16"/>
      <c r="P1804" s="16"/>
      <c r="Q1804" s="16"/>
      <c r="R1804" s="13"/>
      <c r="S1804" s="16"/>
      <c r="T1804" s="36"/>
      <c r="U1804" s="16"/>
      <c r="V1804" s="16"/>
      <c r="W1804" s="23"/>
      <c r="X1804" s="14"/>
      <c r="Y1804" s="15"/>
      <c r="Z1804" s="11"/>
    </row>
    <row r="1805">
      <c r="A1805" s="16"/>
      <c r="B1805" s="16"/>
      <c r="C1805" s="16"/>
      <c r="D1805" s="16"/>
      <c r="E1805" s="16"/>
      <c r="F1805" s="16"/>
      <c r="G1805" s="16"/>
      <c r="H1805" s="16"/>
      <c r="I1805" s="16"/>
      <c r="J1805" s="16"/>
      <c r="K1805" s="16"/>
      <c r="L1805" s="16"/>
      <c r="M1805" s="16"/>
      <c r="N1805" s="16"/>
      <c r="O1805" s="16"/>
      <c r="P1805" s="16"/>
      <c r="Q1805" s="16"/>
      <c r="R1805" s="13"/>
      <c r="S1805" s="16"/>
      <c r="T1805" s="36"/>
      <c r="U1805" s="16"/>
      <c r="V1805" s="16"/>
      <c r="W1805" s="23"/>
      <c r="X1805" s="14"/>
      <c r="Y1805" s="15"/>
      <c r="Z1805" s="11"/>
    </row>
    <row r="1806">
      <c r="A1806" s="16"/>
      <c r="B1806" s="16"/>
      <c r="C1806" s="16"/>
      <c r="D1806" s="16"/>
      <c r="E1806" s="16"/>
      <c r="F1806" s="16"/>
      <c r="G1806" s="16"/>
      <c r="H1806" s="16"/>
      <c r="I1806" s="16"/>
      <c r="J1806" s="16"/>
      <c r="K1806" s="16"/>
      <c r="L1806" s="16"/>
      <c r="M1806" s="16"/>
      <c r="N1806" s="16"/>
      <c r="O1806" s="16"/>
      <c r="P1806" s="16"/>
      <c r="Q1806" s="16"/>
      <c r="R1806" s="13"/>
      <c r="S1806" s="16"/>
      <c r="T1806" s="36"/>
      <c r="U1806" s="16"/>
      <c r="V1806" s="16"/>
      <c r="W1806" s="23"/>
      <c r="X1806" s="14"/>
      <c r="Y1806" s="15"/>
      <c r="Z1806" s="11"/>
    </row>
    <row r="1807">
      <c r="A1807" s="16"/>
      <c r="B1807" s="16"/>
      <c r="C1807" s="16"/>
      <c r="D1807" s="16"/>
      <c r="E1807" s="16"/>
      <c r="F1807" s="16"/>
      <c r="G1807" s="16"/>
      <c r="H1807" s="16"/>
      <c r="I1807" s="16"/>
      <c r="J1807" s="16"/>
      <c r="K1807" s="16"/>
      <c r="L1807" s="16"/>
      <c r="M1807" s="16"/>
      <c r="N1807" s="16"/>
      <c r="O1807" s="16"/>
      <c r="P1807" s="16"/>
      <c r="Q1807" s="16"/>
      <c r="R1807" s="13"/>
      <c r="S1807" s="16"/>
      <c r="T1807" s="36"/>
      <c r="U1807" s="16"/>
      <c r="V1807" s="16"/>
      <c r="W1807" s="23"/>
      <c r="X1807" s="14"/>
      <c r="Y1807" s="15"/>
      <c r="Z1807" s="11"/>
    </row>
    <row r="1808">
      <c r="A1808" s="16"/>
      <c r="B1808" s="16"/>
      <c r="C1808" s="16"/>
      <c r="D1808" s="16"/>
      <c r="E1808" s="16"/>
      <c r="F1808" s="16"/>
      <c r="G1808" s="16"/>
      <c r="H1808" s="16"/>
      <c r="I1808" s="16"/>
      <c r="J1808" s="16"/>
      <c r="K1808" s="16"/>
      <c r="L1808" s="16"/>
      <c r="M1808" s="16"/>
      <c r="N1808" s="16"/>
      <c r="O1808" s="16"/>
      <c r="P1808" s="16"/>
      <c r="Q1808" s="16"/>
      <c r="R1808" s="13"/>
      <c r="S1808" s="16"/>
      <c r="T1808" s="36"/>
      <c r="U1808" s="16"/>
      <c r="V1808" s="16"/>
      <c r="W1808" s="23"/>
      <c r="X1808" s="14"/>
      <c r="Y1808" s="15"/>
      <c r="Z1808" s="11"/>
    </row>
    <row r="1809">
      <c r="A1809" s="16"/>
      <c r="B1809" s="16"/>
      <c r="C1809" s="16"/>
      <c r="D1809" s="16"/>
      <c r="E1809" s="16"/>
      <c r="F1809" s="16"/>
      <c r="G1809" s="16"/>
      <c r="H1809" s="16"/>
      <c r="I1809" s="16"/>
      <c r="J1809" s="16"/>
      <c r="K1809" s="16"/>
      <c r="L1809" s="16"/>
      <c r="M1809" s="16"/>
      <c r="N1809" s="16"/>
      <c r="O1809" s="16"/>
      <c r="P1809" s="16"/>
      <c r="Q1809" s="16"/>
      <c r="R1809" s="13"/>
      <c r="S1809" s="16"/>
      <c r="T1809" s="36"/>
      <c r="U1809" s="16"/>
      <c r="V1809" s="16"/>
      <c r="W1809" s="23"/>
      <c r="X1809" s="14"/>
      <c r="Y1809" s="15"/>
      <c r="Z1809" s="11"/>
    </row>
    <row r="1810">
      <c r="A1810" s="16"/>
      <c r="B1810" s="16"/>
      <c r="C1810" s="16"/>
      <c r="D1810" s="16"/>
      <c r="E1810" s="16"/>
      <c r="F1810" s="16"/>
      <c r="G1810" s="16"/>
      <c r="H1810" s="16"/>
      <c r="I1810" s="16"/>
      <c r="J1810" s="16"/>
      <c r="K1810" s="16"/>
      <c r="L1810" s="16"/>
      <c r="M1810" s="16"/>
      <c r="N1810" s="16"/>
      <c r="O1810" s="16"/>
      <c r="P1810" s="16"/>
      <c r="Q1810" s="16"/>
      <c r="R1810" s="13"/>
      <c r="S1810" s="16"/>
      <c r="T1810" s="36"/>
      <c r="U1810" s="16"/>
      <c r="V1810" s="16"/>
      <c r="W1810" s="23"/>
      <c r="X1810" s="14"/>
      <c r="Y1810" s="15"/>
      <c r="Z1810" s="11"/>
    </row>
    <row r="1811">
      <c r="A1811" s="16"/>
      <c r="B1811" s="16"/>
      <c r="C1811" s="16"/>
      <c r="D1811" s="16"/>
      <c r="E1811" s="16"/>
      <c r="F1811" s="16"/>
      <c r="G1811" s="16"/>
      <c r="H1811" s="16"/>
      <c r="I1811" s="16"/>
      <c r="J1811" s="16"/>
      <c r="K1811" s="16"/>
      <c r="L1811" s="16"/>
      <c r="M1811" s="16"/>
      <c r="N1811" s="16"/>
      <c r="O1811" s="16"/>
      <c r="P1811" s="16"/>
      <c r="Q1811" s="16"/>
      <c r="R1811" s="13"/>
      <c r="S1811" s="16"/>
      <c r="T1811" s="36"/>
      <c r="U1811" s="16"/>
      <c r="V1811" s="16"/>
      <c r="W1811" s="23"/>
      <c r="X1811" s="14"/>
      <c r="Y1811" s="15"/>
      <c r="Z1811" s="11"/>
    </row>
    <row r="1812">
      <c r="A1812" s="16"/>
      <c r="B1812" s="16"/>
      <c r="C1812" s="16"/>
      <c r="D1812" s="16"/>
      <c r="E1812" s="16"/>
      <c r="F1812" s="16"/>
      <c r="G1812" s="16"/>
      <c r="H1812" s="16"/>
      <c r="I1812" s="16"/>
      <c r="J1812" s="16"/>
      <c r="K1812" s="16"/>
      <c r="L1812" s="16"/>
      <c r="M1812" s="16"/>
      <c r="N1812" s="16"/>
      <c r="O1812" s="16"/>
      <c r="P1812" s="16"/>
      <c r="Q1812" s="16"/>
      <c r="R1812" s="13"/>
      <c r="S1812" s="16"/>
      <c r="T1812" s="36"/>
      <c r="U1812" s="16"/>
      <c r="V1812" s="16"/>
      <c r="W1812" s="23"/>
      <c r="X1812" s="14"/>
      <c r="Y1812" s="15"/>
      <c r="Z1812" s="11"/>
    </row>
    <row r="1813">
      <c r="A1813" s="16"/>
      <c r="B1813" s="16"/>
      <c r="C1813" s="16"/>
      <c r="D1813" s="16"/>
      <c r="E1813" s="16"/>
      <c r="F1813" s="16"/>
      <c r="G1813" s="16"/>
      <c r="H1813" s="16"/>
      <c r="I1813" s="16"/>
      <c r="J1813" s="16"/>
      <c r="K1813" s="16"/>
      <c r="L1813" s="16"/>
      <c r="M1813" s="16"/>
      <c r="N1813" s="16"/>
      <c r="O1813" s="16"/>
      <c r="P1813" s="16"/>
      <c r="Q1813" s="16"/>
      <c r="R1813" s="13"/>
      <c r="S1813" s="16"/>
      <c r="T1813" s="36"/>
      <c r="U1813" s="16"/>
      <c r="V1813" s="16"/>
      <c r="W1813" s="23"/>
      <c r="X1813" s="14"/>
      <c r="Y1813" s="15"/>
      <c r="Z1813" s="11"/>
    </row>
    <row r="1814">
      <c r="A1814" s="16"/>
      <c r="B1814" s="16"/>
      <c r="C1814" s="16"/>
      <c r="D1814" s="16"/>
      <c r="E1814" s="16"/>
      <c r="F1814" s="16"/>
      <c r="G1814" s="16"/>
      <c r="H1814" s="16"/>
      <c r="I1814" s="16"/>
      <c r="J1814" s="16"/>
      <c r="K1814" s="16"/>
      <c r="L1814" s="16"/>
      <c r="M1814" s="16"/>
      <c r="N1814" s="16"/>
      <c r="O1814" s="16"/>
      <c r="P1814" s="16"/>
      <c r="Q1814" s="16"/>
      <c r="R1814" s="13"/>
      <c r="S1814" s="16"/>
      <c r="T1814" s="36"/>
      <c r="U1814" s="16"/>
      <c r="V1814" s="16"/>
      <c r="W1814" s="23"/>
      <c r="X1814" s="14"/>
      <c r="Y1814" s="15"/>
      <c r="Z1814" s="11"/>
    </row>
    <row r="1815">
      <c r="A1815" s="16"/>
      <c r="B1815" s="16"/>
      <c r="C1815" s="16"/>
      <c r="D1815" s="16"/>
      <c r="E1815" s="16"/>
      <c r="F1815" s="16"/>
      <c r="G1815" s="16"/>
      <c r="H1815" s="16"/>
      <c r="I1815" s="16"/>
      <c r="J1815" s="16"/>
      <c r="K1815" s="16"/>
      <c r="L1815" s="16"/>
      <c r="M1815" s="16"/>
      <c r="N1815" s="16"/>
      <c r="O1815" s="16"/>
      <c r="P1815" s="16"/>
      <c r="Q1815" s="16"/>
      <c r="R1815" s="13"/>
      <c r="S1815" s="16"/>
      <c r="T1815" s="36"/>
      <c r="U1815" s="16"/>
      <c r="V1815" s="16"/>
      <c r="W1815" s="23"/>
      <c r="X1815" s="14"/>
      <c r="Y1815" s="15"/>
      <c r="Z1815" s="11"/>
    </row>
    <row r="1816">
      <c r="A1816" s="16"/>
      <c r="B1816" s="16"/>
      <c r="C1816" s="16"/>
      <c r="D1816" s="16"/>
      <c r="E1816" s="16"/>
      <c r="F1816" s="16"/>
      <c r="G1816" s="16"/>
      <c r="H1816" s="16"/>
      <c r="I1816" s="16"/>
      <c r="J1816" s="16"/>
      <c r="K1816" s="16"/>
      <c r="L1816" s="16"/>
      <c r="M1816" s="16"/>
      <c r="N1816" s="16"/>
      <c r="O1816" s="16"/>
      <c r="P1816" s="16"/>
      <c r="Q1816" s="16"/>
      <c r="R1816" s="13"/>
      <c r="S1816" s="16"/>
      <c r="T1816" s="36"/>
      <c r="U1816" s="16"/>
      <c r="V1816" s="16"/>
      <c r="W1816" s="23"/>
      <c r="X1816" s="14"/>
      <c r="Y1816" s="15"/>
      <c r="Z1816" s="11"/>
    </row>
    <row r="1817">
      <c r="A1817" s="16"/>
      <c r="B1817" s="16"/>
      <c r="C1817" s="16"/>
      <c r="D1817" s="16"/>
      <c r="E1817" s="16"/>
      <c r="F1817" s="16"/>
      <c r="G1817" s="16"/>
      <c r="H1817" s="16"/>
      <c r="I1817" s="16"/>
      <c r="J1817" s="16"/>
      <c r="K1817" s="16"/>
      <c r="L1817" s="16"/>
      <c r="M1817" s="16"/>
      <c r="N1817" s="16"/>
      <c r="O1817" s="16"/>
      <c r="P1817" s="16"/>
      <c r="Q1817" s="16"/>
      <c r="R1817" s="13"/>
      <c r="S1817" s="16"/>
      <c r="T1817" s="36"/>
      <c r="U1817" s="16"/>
      <c r="V1817" s="16"/>
      <c r="W1817" s="23"/>
      <c r="X1817" s="14"/>
      <c r="Y1817" s="15"/>
      <c r="Z1817" s="11"/>
    </row>
    <row r="1818">
      <c r="A1818" s="16"/>
      <c r="B1818" s="16"/>
      <c r="C1818" s="16"/>
      <c r="D1818" s="16"/>
      <c r="E1818" s="16"/>
      <c r="F1818" s="16"/>
      <c r="G1818" s="16"/>
      <c r="H1818" s="16"/>
      <c r="I1818" s="16"/>
      <c r="J1818" s="16"/>
      <c r="K1818" s="16"/>
      <c r="L1818" s="16"/>
      <c r="M1818" s="16"/>
      <c r="N1818" s="16"/>
      <c r="O1818" s="16"/>
      <c r="P1818" s="16"/>
      <c r="Q1818" s="16"/>
      <c r="R1818" s="13"/>
      <c r="S1818" s="16"/>
      <c r="T1818" s="36"/>
      <c r="U1818" s="16"/>
      <c r="V1818" s="16"/>
      <c r="W1818" s="23"/>
      <c r="X1818" s="14"/>
      <c r="Y1818" s="15"/>
      <c r="Z1818" s="11"/>
    </row>
    <row r="1819">
      <c r="A1819" s="16"/>
      <c r="B1819" s="16"/>
      <c r="C1819" s="16"/>
      <c r="D1819" s="16"/>
      <c r="E1819" s="16"/>
      <c r="F1819" s="16"/>
      <c r="G1819" s="16"/>
      <c r="H1819" s="16"/>
      <c r="I1819" s="16"/>
      <c r="J1819" s="16"/>
      <c r="K1819" s="16"/>
      <c r="L1819" s="16"/>
      <c r="M1819" s="16"/>
      <c r="N1819" s="16"/>
      <c r="O1819" s="16"/>
      <c r="P1819" s="16"/>
      <c r="Q1819" s="16"/>
      <c r="R1819" s="13"/>
      <c r="S1819" s="16"/>
      <c r="T1819" s="36"/>
      <c r="U1819" s="16"/>
      <c r="V1819" s="16"/>
      <c r="W1819" s="23"/>
      <c r="X1819" s="14"/>
      <c r="Y1819" s="15"/>
      <c r="Z1819" s="11"/>
    </row>
    <row r="1820">
      <c r="A1820" s="16"/>
      <c r="B1820" s="16"/>
      <c r="C1820" s="16"/>
      <c r="D1820" s="16"/>
      <c r="E1820" s="16"/>
      <c r="F1820" s="16"/>
      <c r="G1820" s="16"/>
      <c r="H1820" s="16"/>
      <c r="I1820" s="16"/>
      <c r="J1820" s="16"/>
      <c r="K1820" s="16"/>
      <c r="L1820" s="16"/>
      <c r="M1820" s="16"/>
      <c r="N1820" s="16"/>
      <c r="O1820" s="16"/>
      <c r="P1820" s="16"/>
      <c r="Q1820" s="16"/>
      <c r="R1820" s="13"/>
      <c r="S1820" s="16"/>
      <c r="T1820" s="36"/>
      <c r="U1820" s="16"/>
      <c r="V1820" s="16"/>
      <c r="W1820" s="23"/>
      <c r="X1820" s="14"/>
      <c r="Y1820" s="15"/>
      <c r="Z1820" s="11"/>
    </row>
  </sheetData>
  <autoFilter ref="$A$1:$Z$1733">
    <filterColumn colId="19">
      <filters>
        <filter val="915-00129.A - МП AQC622FW-1 (Аквариус) в ТС"/>
        <filter val="ПУ M18 PRO"/>
        <filter val="ПУ модуля индикация i95"/>
        <filter val="915-00096.A - ПКД-8В-2 АСЛБ.467249.109 (Квант)"/>
        <filter val="DPC612-LB (Depo)"/>
        <filter val="915-00122.A - Модуль EDIC 0.1.0 (Эррайвал)"/>
        <filter val="ПУ основного блока E96 BT"/>
        <filter val="ПУ 910-00349.A &quot;Печатный узел основного блока E96 4LIN&quot;"/>
      </filters>
    </filterColumn>
    <filterColumn colId="17">
      <filters blank="1">
        <filter val="Создание программы для AOI PRI"/>
        <filter val="Сканирование заготовок (&quot;Завершение стадии&quot;)"/>
        <filter val="Написание программы для SEHO PRI"/>
        <filter val="Установка компонентов вручную"/>
        <filter val="Занесение в Aegis"/>
        <filter val="Подготовка компонентов к пайке"/>
        <filter val="Обучение"/>
        <filter val="Проверка программы на АОИ SEC"/>
        <filter val="Уборка линии"/>
        <filter val="Настойка первой платы на АОИ SEC"/>
        <filter val="Формовка компонетов"/>
        <filter val="Зарядка питателей Sec"/>
        <filter val="Отладка программы на AOI SEC"/>
        <filter val="Проверка плат на АОИ Sec"/>
        <filter val="Выполнение организационных работ"/>
        <filter val="Настойка первой платы на АОИ"/>
        <filter val="Установка винтов"/>
        <filter val="Установка компонентов  на платы (ручная) SEC"/>
        <filter val="Написание инструкции"/>
        <filter val="Настройка принтера Sec"/>
        <filter val="Наращивание комплектации"/>
        <filter val="Заполнение отчёта"/>
        <filter val="Проверка на АОИ SEC"/>
        <filter val="Разрядка питателей Sec"/>
        <filter val="Подготовка компонентов к зарядке"/>
        <filter val="Проверка программы на АОИ"/>
        <filter val="Настройка линии Secondary"/>
        <filter val="Проверка участка после смены"/>
        <filter val="ReviewStation sec"/>
        <filter val="Выполнение технологических задач"/>
        <filter val="Организационные работы"/>
        <filter val="Проведение обучения"/>
        <filter val="Написание программы для SEHO SEC"/>
        <filter val="Создание программы для AOI SEC"/>
        <filter val="Нанесение пасты"/>
        <filter val="Прохождение обучения"/>
        <filter val="Пайка компонентов PRI"/>
        <filter val="Настройка треев"/>
        <filter val="Настройка SEHO SEC"/>
        <filter val="Написание программы для АОИ SEC"/>
        <filter val="Настройка линии"/>
        <filter val="Настройка принтера Pri"/>
        <filter val="Проверка первой платы после пайки"/>
      </filters>
    </filterColumn>
    <sortState ref="A1:Z1733">
      <sortCondition descending="1" ref="S1:S1733"/>
    </sortState>
  </autoFilter>
  <customSheetViews>
    <customSheetView guid="{3A2F55A7-294B-462D-A2B7-6BDDD7E7445D}" filter="1" showAutoFilter="1">
      <autoFilter ref="$A$1:$Z$1733">
        <filterColumn colId="15">
          <filters>
            <filter val="10/17/2020"/>
            <filter val="10/3/2020"/>
            <filter val="10/25/2020"/>
            <filter val="10/22/2020"/>
            <filter val="10/9/2020"/>
            <filter val="10/11/2020"/>
            <filter val="10/14/2020"/>
            <filter val="10/6/2020"/>
            <filter val="10/30/2020"/>
            <filter val="10/13/2020"/>
            <filter val="10/28/2020"/>
            <filter val="10/7/2020"/>
            <filter val="10/10/2020"/>
            <filter val="10/21/2020"/>
            <filter val="10/24/2020"/>
            <filter val="10/4/2020"/>
            <filter val="10/16/2020"/>
            <filter val="10/1/2020"/>
            <filter val="11/1/2020"/>
            <filter val="10/27/2020"/>
            <filter val="10/19/2020"/>
            <filter val="10/8/2020"/>
            <filter val="10/29/2020"/>
            <filter val="10/26/2020"/>
            <filter val="10/5/2020"/>
            <filter val="10/20/2020"/>
            <filter val="10/12/2020"/>
            <filter val="10/15/2020"/>
            <filter val="10/23/2020"/>
            <filter val="10/18/2020"/>
            <filter val="10/31/2020"/>
            <filter val="10/2/2020"/>
            <filter val="11/2/2020"/>
          </filters>
        </filterColumn>
        <filterColumn colId="1">
          <filters blank="1">
            <filter val="Смена 1 (20:00 - 8:00)"/>
            <filter val="Смена 2 (20:00 - 8:00)"/>
            <filter val="Смена 1 (8:00 - 20:00)"/>
            <filter val="Смена 3 (20:00 - 8:00)"/>
            <filter val="Смена 4 (20:00 - 8:00)"/>
            <filter val="Смена 4 (8:00 - 20:00)"/>
            <filter val="Смена 2 (8:00 - 20:00)"/>
          </filters>
        </filterColumn>
        <sortState ref="A1:Z1733">
          <sortCondition descending="1" ref="S1:S1733"/>
        </sortState>
      </autoFilter>
    </customSheetView>
    <customSheetView guid="{FF379543-900E-4FD3-982D-36EA41EC6E7E}" filter="1" showAutoFilter="1">
      <autoFilter ref="$A$1:$Z$1733">
        <filterColumn colId="15">
          <filters>
            <filter val="10/17/2020"/>
            <filter val="10/3/2020"/>
            <filter val="10/25/2020"/>
            <filter val="10/22/2020"/>
            <filter val="10/9/2020"/>
            <filter val="10/11/2020"/>
            <filter val="10/14/2020"/>
            <filter val="10/6/2020"/>
            <filter val="10/30/2020"/>
            <filter val="10/13/2020"/>
            <filter val="10/28/2020"/>
            <filter val="10/7/2020"/>
            <filter val="10/10/2020"/>
            <filter val="10/21/2020"/>
            <filter val="10/24/2020"/>
            <filter val="10/4/2020"/>
            <filter val="10/16/2020"/>
            <filter val="10/1/2020"/>
            <filter val="11/1/2020"/>
            <filter val="10/27/2020"/>
            <filter val="10/19/2020"/>
            <filter val="10/8/2020"/>
            <filter val="10/29/2020"/>
            <filter val="10/26/2020"/>
            <filter val="10/5/2020"/>
            <filter val="10/20/2020"/>
            <filter val="10/12/2020"/>
            <filter val="10/15/2020"/>
            <filter val="10/23/2020"/>
            <filter val="10/18/2020"/>
            <filter val="10/31/2020"/>
            <filter val="10/2/2020"/>
            <filter val="11/2/2020"/>
          </filters>
        </filterColumn>
        <filterColumn colId="1">
          <filters blank="1">
            <filter val="Смена 1 (20:00 - 8:00)"/>
            <filter val="Смена 2 (20:00 - 8:00)"/>
            <filter val="Смена 1 (8:00 - 20:00)"/>
            <filter val="Смена 3 (20:00 - 8:00)"/>
            <filter val="Смена 4 (20:00 - 8:00)"/>
            <filter val="Смена 4 (8:00 - 20:00)"/>
            <filter val="Смена 2 (8:00 - 20:00)"/>
          </filters>
        </filterColumn>
        <sortState ref="A1:Z1733">
          <sortCondition descending="1" ref="S1:S1733"/>
        </sortState>
      </autoFilter>
    </customSheetView>
    <customSheetView guid="{525B9F1B-8B1D-4F74-835D-DDF40C4462AE}" filter="1" showAutoFilter="1">
      <autoFilter ref="$A$1:$Z$1733"/>
    </customSheetView>
    <customSheetView guid="{BD93377E-A2E9-4414-97CD-6DA113B112BD}" filter="1" showAutoFilter="1">
      <autoFilter ref="$A$1:$Z$1733">
        <filterColumn colId="3">
          <filters>
            <filter val="THT"/>
            <filter val="SMT"/>
          </filters>
        </filterColumn>
        <filterColumn colId="1">
          <filters blank="1">
            <filter val="Смена 3 (8:00 - 20:00)"/>
            <filter val="Смена 3 (20:00 - 8:00)"/>
          </filters>
        </filterColumn>
        <filterColumn colId="15">
          <filters blank="1">
            <filter val="10/17/2020"/>
            <filter val="10/3/2020"/>
            <filter val="10/25/2020"/>
            <filter val="10/22/2020"/>
            <filter val="10/9/2020"/>
            <filter val="10/11/2020"/>
            <filter val="10/14/2020"/>
            <filter val="10/6/2020"/>
            <filter val="10/30/2020"/>
            <filter val="10/13/2020"/>
            <filter val="10/28/2020"/>
            <filter val="10/7/2020"/>
            <filter val="10/10/2020"/>
            <filter val="10/21/2020"/>
            <filter val="10/24/2020"/>
            <filter val="10/4/2020"/>
            <filter val="10/16/2020"/>
            <filter val="10/1/2020"/>
            <filter val="11/1/2020"/>
            <filter val="10/27/2020"/>
            <filter val="10/19/2020"/>
            <filter val="10/8/2020"/>
            <filter val="10/29/2020"/>
            <filter val="10/26/2020"/>
            <filter val="10/5/2020"/>
            <filter val="10/20/2020"/>
            <filter val="10/12/2020"/>
            <filter val="10/15/2020"/>
            <filter val="10/23/2020"/>
            <filter val="10/18/2020"/>
            <filter val="10/31/2020"/>
            <filter val="10/2/2020"/>
            <filter val="11/2/2020"/>
          </filters>
        </filterColumn>
      </autoFilter>
    </customSheetView>
    <customSheetView guid="{8504DB23-1D85-40D4-B6C9-7AFE0117FDC8}" filter="1" showAutoFilter="1">
      <autoFilter ref="$A$1:$Z$1733">
        <filterColumn colId="1">
          <filters>
            <filter val="Смена 3 (8:00 - 20:00)"/>
            <filter val="Смена 3 (20:00 - 8:00)"/>
          </filters>
        </filterColumn>
        <filterColumn colId="15">
          <filters blank="1">
            <filter val="10/17/2020"/>
            <filter val="10/3/2020"/>
            <filter val="10/25/2020"/>
            <filter val="10/22/2020"/>
            <filter val="10/9/2020"/>
            <filter val="10/11/2020"/>
            <filter val="10/14/2020"/>
            <filter val="10/6/2020"/>
            <filter val="10/30/2020"/>
            <filter val="10/13/2020"/>
            <filter val="10/28/2020"/>
            <filter val="10/7/2020"/>
            <filter val="10/10/2020"/>
            <filter val="10/21/2020"/>
            <filter val="10/24/2020"/>
            <filter val="10/4/2020"/>
            <filter val="10/16/2020"/>
            <filter val="10/1/2020"/>
            <filter val="11/1/2020"/>
            <filter val="10/27/2020"/>
            <filter val="10/19/2020"/>
            <filter val="10/8/2020"/>
            <filter val="10/29/2020"/>
            <filter val="10/26/2020"/>
            <filter val="10/5/2020"/>
            <filter val="10/20/2020"/>
            <filter val="10/12/2020"/>
            <filter val="10/15/2020"/>
            <filter val="10/23/2020"/>
            <filter val="10/18/2020"/>
            <filter val="10/31/2020"/>
            <filter val="10/2/2020"/>
            <filter val="11/2/2020"/>
          </filters>
        </filterColumn>
        <sortState ref="A1:Z1733">
          <sortCondition descending="1" ref="S1:S1733"/>
        </sortState>
      </autoFilter>
    </customSheetView>
    <customSheetView guid="{245A086C-2BA2-464B-B9F8-2091350C84EC}" filter="1" showAutoFilter="1">
      <autoFilter ref="$A$1:$Z$1733">
        <filterColumn colId="15">
          <filters>
            <filter val="10/17/2020"/>
            <filter val="10/3/2020"/>
            <filter val="10/25/2020"/>
            <filter val="10/22/2020"/>
            <filter val="10/9/2020"/>
            <filter val="10/11/2020"/>
            <filter val="10/14/2020"/>
            <filter val="10/6/2020"/>
            <filter val="10/30/2020"/>
            <filter val="10/13/2020"/>
            <filter val="10/28/2020"/>
            <filter val="10/7/2020"/>
            <filter val="10/10/2020"/>
            <filter val="10/21/2020"/>
            <filter val="10/24/2020"/>
            <filter val="10/4/2020"/>
            <filter val="10/16/2020"/>
            <filter val="10/1/2020"/>
            <filter val="11/1/2020"/>
            <filter val="10/27/2020"/>
            <filter val="10/19/2020"/>
            <filter val="10/8/2020"/>
            <filter val="10/29/2020"/>
            <filter val="10/26/2020"/>
            <filter val="10/5/2020"/>
            <filter val="10/20/2020"/>
            <filter val="10/12/2020"/>
            <filter val="10/15/2020"/>
            <filter val="10/23/2020"/>
            <filter val="10/18/2020"/>
            <filter val="10/31/2020"/>
            <filter val="10/2/2020"/>
            <filter val="11/2/2020"/>
          </filters>
        </filterColumn>
        <filterColumn colId="1">
          <filters blank="1">
            <filter val="Смена 1 (20:00 - 8:00)"/>
            <filter val="Смена 2 (20:00 - 8:00)"/>
            <filter val="Смена 1 (8:00 - 20:00)"/>
            <filter val="Смена 3 (8:00 - 20:00)"/>
            <filter val="Смена 3 (20:00 - 8:00)"/>
            <filter val="Смена 4 (20:00 - 8:00)"/>
            <filter val="Смена 4 (8:00 - 20:00)"/>
          </filters>
        </filterColumn>
        <filterColumn colId="3">
          <filters blank="1">
            <filter val="SMT"/>
          </filters>
        </filterColumn>
        <sortState ref="A1:Z1733">
          <sortCondition descending="1" ref="S1:S1733"/>
        </sortState>
      </autoFilter>
    </customSheetView>
    <customSheetView guid="{A4E7C02A-B6A9-4CA2-8FE5-D80D4BE293C5}" filter="1" showAutoFilter="1">
      <autoFilter ref="$A$1:$Z$1733">
        <filterColumn colId="15">
          <filters>
            <filter val="10/17/2020"/>
            <filter val="10/3/2020"/>
            <filter val="10/25/2020"/>
            <filter val="10/22/2020"/>
            <filter val="10/9/2020"/>
            <filter val="10/11/2020"/>
            <filter val="10/14/2020"/>
            <filter val="10/6/2020"/>
            <filter val="10/30/2020"/>
            <filter val="10/13/2020"/>
            <filter val="10/28/2020"/>
            <filter val="10/7/2020"/>
            <filter val="10/10/2020"/>
            <filter val="10/21/2020"/>
            <filter val="10/24/2020"/>
            <filter val="10/4/2020"/>
            <filter val="10/16/2020"/>
            <filter val="10/1/2020"/>
            <filter val="11/1/2020"/>
            <filter val="10/27/2020"/>
            <filter val="10/19/2020"/>
            <filter val="10/8/2020"/>
            <filter val="10/29/2020"/>
            <filter val="10/26/2020"/>
            <filter val="10/5/2020"/>
            <filter val="10/20/2020"/>
            <filter val="10/12/2020"/>
            <filter val="10/15/2020"/>
            <filter val="10/23/2020"/>
            <filter val="10/18/2020"/>
            <filter val="10/31/2020"/>
            <filter val="10/2/2020"/>
            <filter val="11/2/2020"/>
          </filters>
        </filterColumn>
        <filterColumn colId="1">
          <filters blank="1">
            <filter val="Смена 1 (20:00 - 8:00)"/>
            <filter val="Смена 2 (20:00 - 8:00)"/>
            <filter val="Смена 3 (8:00 - 20:00)"/>
            <filter val="Смена 3 (20:00 - 8:00)"/>
            <filter val="Смена 4 (20:00 - 8:00)"/>
            <filter val="Смена 4 (8:00 - 20:00)"/>
            <filter val="Смена 2 (8:00 - 20:00)"/>
          </filters>
        </filterColumn>
        <sortState ref="A1:Z1733">
          <sortCondition descending="1" ref="S1:S1733"/>
        </sortState>
      </autoFilter>
    </customSheetView>
    <customSheetView guid="{C968972E-9FF2-4687-B43A-2AC63DBBB3DB}" filter="1" showAutoFilter="1">
      <autoFilter ref="$P$1474:$R$1474"/>
    </customSheetView>
    <customSheetView guid="{3325AF79-FE7C-46C0-8D5C-7A0FF7253BF7}" filter="1" showAutoFilter="1">
      <autoFilter ref="$A$1:$Z$531">
        <filterColumn colId="1">
          <filters blank="1">
            <filter val="Смена 1 (20:00 - 8:00)"/>
            <filter val="Смена 2 (20:00 - 8:00)"/>
            <filter val="Смена 1 (8:00 - 20:00)"/>
            <filter val="Смена 3 (20:00 - 8:00)"/>
            <filter val="Смена 4 (20:00 - 8:00)"/>
            <filter val="Смена 4 (8:00 - 20:00)"/>
            <filter val="Смена 2 (8:00 - 20:00)"/>
          </filters>
        </filterColumn>
        <filterColumn colId="15">
          <filters blank="1">
            <filter val="10/17/2020"/>
            <filter val="10/3/2020"/>
            <filter val="10/25/2020"/>
            <filter val="10/22/2020"/>
            <filter val="10/9/2020"/>
            <filter val="10/11/2020"/>
            <filter val="10/14/2020"/>
            <filter val="10/6/2020"/>
            <filter val="10/13/2020"/>
            <filter val="10/28/2020"/>
            <filter val="10/7/2020"/>
            <filter val="10/10/2020"/>
            <filter val="10/21/2020"/>
            <filter val="10/24/2020"/>
            <filter val="10/4/2020"/>
            <filter val="10/16/2020"/>
            <filter val="10/1/2020"/>
            <filter val="11/1/2020"/>
            <filter val="10/27/2020"/>
            <filter val="10/19/2020"/>
            <filter val="10/8/2020"/>
            <filter val="10/29/2020"/>
            <filter val="10/26/2020"/>
            <filter val="10/5/2020"/>
            <filter val="10/20/2020"/>
            <filter val="10/12/2020"/>
            <filter val="10/15/2020"/>
            <filter val="10/23/2020"/>
            <filter val="10/18/2020"/>
            <filter val="10/31/2020"/>
            <filter val="10/2/2020"/>
          </filters>
        </filterColumn>
        <sortState ref="A1:Z531">
          <sortCondition ref="S1:S531"/>
        </sortState>
      </autoFilter>
    </customSheetView>
    <customSheetView guid="{DD3D0492-C444-408E-A0B6-D91B05F1AF4E}" filter="1" showAutoFilter="1">
      <autoFilter ref="$A$1:$Z$1"/>
    </customSheetView>
    <customSheetView guid="{F245D052-9CEE-4982-AD20-E6A629978F6F}" filter="1" showAutoFilter="1">
      <autoFilter ref="$A$1:$Z$1624">
        <filterColumn colId="15">
          <filters>
            <filter val="10/17/2020"/>
            <filter val="10/3/2020"/>
            <filter val="10/25/2020"/>
            <filter val="10/22/2020"/>
            <filter val="10/9/2020"/>
            <filter val="10/11/2020"/>
            <filter val="10/14/2020"/>
            <filter val="10/6/2020"/>
            <filter val="10/30/2020"/>
            <filter val="10/13/2020"/>
            <filter val="10/28/2020"/>
            <filter val="10/7/2020"/>
            <filter val="10/10/2020"/>
            <filter val="10/21/2020"/>
            <filter val="10/24/2020"/>
            <filter val="10/4/2020"/>
            <filter val="10/16/2020"/>
            <filter val="10/1/2020"/>
            <filter val="11/1/2020"/>
            <filter val="10/27/2020"/>
            <filter val="10/19/2020"/>
            <filter val="10/8/2020"/>
            <filter val="10/29/2020"/>
            <filter val="10/26/2020"/>
            <filter val="10/5/2020"/>
            <filter val="10/20/2020"/>
            <filter val="10/12/2020"/>
            <filter val="10/15/2020"/>
            <filter val="10/23/2020"/>
            <filter val="10/18/2020"/>
            <filter val="10/31/2020"/>
            <filter val="10/2/2020"/>
          </filters>
        </filterColumn>
        <filterColumn colId="1">
          <filters blank="1">
            <filter val="Смена 4 (20:00 - 8:00)"/>
            <filter val="Смена 4 (8:00 - 20:00)"/>
          </filters>
        </filterColumn>
        <sortState ref="A1:Z1624">
          <sortCondition descending="1" ref="S1:S1624"/>
        </sortState>
      </autoFilter>
    </customSheetView>
    <customSheetView guid="{A9A4FBD4-5FC8-4E7E-B259-FAA84BAC4E0C}" filter="1" showAutoFilter="1">
      <autoFilter ref="$A$1:$Z$577">
        <filterColumn colId="17">
          <filters>
            <filter val="Зарядка питателей Sec"/>
            <filter val="Отладка программы на AOI SEC"/>
            <filter val="Сборка на линии Prim"/>
            <filter val="Отладка программы на AOI PRI"/>
            <filter val="Настройка принтера Pri"/>
          </filters>
        </filterColumn>
      </autoFilter>
    </customSheetView>
    <customSheetView guid="{BC6E092E-23B0-4EE3-B6B1-F158F36AEE1D}" filter="1" showAutoFilter="1">
      <autoFilter ref="$W$1471"/>
    </customSheetView>
    <customSheetView guid="{A299A37F-2296-4BA3-81DB-7FCA8970F1F1}" filter="1" showAutoFilter="1">
      <autoFilter ref="$R$1472"/>
    </customSheetView>
    <customSheetView guid="{18BF696D-F462-41B4-AF9C-21185EC57C6A}" filter="1" showAutoFilter="1">
      <autoFilter ref="$A$1:$Z$270">
        <filterColumn colId="18">
          <filters>
            <filter val="Стосик Степан Владимирович"/>
            <filter val="учётный код не найден"/>
          </filters>
        </filterColumn>
      </autoFilter>
    </customSheetView>
    <customSheetView guid="{BC25869F-C681-4D15-A6DF-AFA3D12BB2BA}" filter="1" showAutoFilter="1">
      <autoFilter ref="$A$1:$Z$929">
        <filterColumn colId="1">
          <filters blank="1">
            <filter val="Смена 3 (8:00 - 20:00)"/>
          </filters>
        </filterColumn>
        <filterColumn colId="0">
          <filters blank="1">
            <filter val="10/16/2020 19:38:58"/>
            <filter val="10/15/2020 7:22:25"/>
            <filter val="10/21/2020 19:56:16"/>
            <filter val="10/9/2020 7:56:57"/>
            <filter val="10/26/2020 7:32:56"/>
            <filter val="10/6/2020 7:54:51"/>
            <filter val="10/24/2020 7:54:43"/>
            <filter val="10/5/2020 19:34:52"/>
            <filter val="10/17/2020 8:16:32"/>
            <filter val="10/24/2020 8:02:11"/>
            <filter val="10/17/2020 19:51:05"/>
            <filter val="10/12/2020 7:54:43"/>
            <filter val="10/3/2020 19:14:32"/>
            <filter val="10/26/2020 18:45:34"/>
            <filter val="10/5/2020 19:46:24"/>
            <filter val="10/11/2020 19:33:34"/>
            <filter val="10/15/2020 19:28:53"/>
            <filter val="10/11/2020 7:42:40"/>
            <filter val="10/5/2020 22:10:49"/>
            <filter val="10/28/2020 7:34:20"/>
            <filter val="10/23/2020 7:30:56"/>
            <filter val="10/21/2020 7:54:07"/>
            <filter val="10/10/2020 7:40:59"/>
            <filter val="10/26/2020 7:20:54"/>
            <filter val="10/4/2020 7:54:33"/>
            <filter val="10/27/2020 8:04:39"/>
            <filter val="10/14/2020 7:44:17"/>
            <filter val="10/10/2020 7:40:50"/>
            <filter val="10/2/2020 19:48:55"/>
            <filter val="10/2/2020 7:29:37"/>
            <filter val="10/25/2020 19:52:34"/>
            <filter val="10/17/2020 7:58:39"/>
            <filter val="10/9/2020 19:30:55"/>
            <filter val="10/7/2020 7:22:26"/>
            <filter val="10/17/2020 7:58:35"/>
            <filter val="10/8/2020 21:01:47"/>
            <filter val="10/1/2020 20:17:31"/>
            <filter val="10/25/2020 8:48:55"/>
            <filter val="10/8/2020 7:46:18"/>
            <filter val="10/22/2020 19:54:23"/>
            <filter val="10/27/2020 19:49:26"/>
            <filter val="10/1/2020 19:28:06"/>
            <filter val="10/27/2020 19:50:19"/>
            <filter val="10/24/2020 19:52:50"/>
            <filter val="10/28/2020 7:34:49"/>
            <filter val="10/4/2020 7:42:58"/>
            <filter val="10/21/2020 7:42:19"/>
            <filter val="10/15/2020 19:51:37"/>
            <filter val="10/14/2020 19:55:07"/>
            <filter val="10/21/2020 19:56:42"/>
            <filter val="10/4/2020 7:44:00"/>
            <filter val="10/16/2020 19:51:29"/>
            <filter val="10/5/2020 7:30:46"/>
            <filter val="10/13/2020 7:44:40"/>
            <filter val="10/15/2020 7:44:41"/>
            <filter val="10/5/2020 8:36:15"/>
            <filter val="10/21/2020 7:30:35"/>
            <filter val="10/10/2020 7:39:55"/>
            <filter val="10/15/2020 7:19:59"/>
            <filter val="10/5/2020 7:56:13"/>
            <filter val="10/13/2020 7:44:58"/>
            <filter val="10/5/2020 7:56:14"/>
            <filter val="10/16/2020 20:15:38"/>
            <filter val="10/4/2020 7:40:42"/>
            <filter val="10/6/2020 7:56:30"/>
            <filter val="10/7/2020 8:02:02"/>
            <filter val="10/20/2020 7:29:49"/>
            <filter val="10/17/2020 19:51:45"/>
            <filter val="10/16/2020 19:41:31"/>
            <filter val="10/21/2020 19:54:32"/>
            <filter val="10/14/2020 7:32:12"/>
            <filter val="10/7/2020 6:29:21"/>
            <filter val="10/21/2020 7:54:33"/>
            <filter val="10/16/2020 19:53:13"/>
            <filter val="10/9/2020 7:44:39"/>
            <filter val="10/17/2020 19:41:07"/>
            <filter val="10/17/2020 19:41:08"/>
            <filter val="10/16/2020 15:53:36"/>
            <filter val="10/20/2020 7:29:32"/>
            <filter val="10/14/2020 7:58:15"/>
            <filter val="10/25/2020 19:54:01"/>
            <filter val="10/9/2020 19:54:57"/>
            <filter val="11/2/2020 7:53:06"/>
            <filter val="10/8/2020 21:01:14"/>
            <filter val="10/29/2020 7:36:49"/>
            <filter val="10/14/2020 4:31:32"/>
            <filter val="10/1/2020 19:51:16"/>
            <filter val="10/5/2020 7:54:56"/>
            <filter val="10/5/2020 7:44:04"/>
            <filter val="10/21/2020 19:54:50"/>
            <filter val="10/14/2020 7:30:55"/>
            <filter val="10/8/2020 8:24:39"/>
            <filter val="10/16/2020 19:51:59"/>
            <filter val="10/28/2020 19:47:23"/>
            <filter val="10/23/2020 15:56:44"/>
            <filter val="10/5/2020 7:54:40"/>
            <filter val="10/15/2020 7:44:06"/>
            <filter val="10/22/2020 7:44:36"/>
            <filter val="10/17/2020 9:11:41"/>
            <filter val="10/16/2020 15:53:56"/>
            <filter val="10/5/2020 19:44:25"/>
            <filter val="10/23/2020 13:35:10"/>
            <filter val="10/10/2020 7:42:23"/>
            <filter val="10/7/2020 6:30:16"/>
            <filter val="10/26/2020 7:34:05"/>
            <filter val="10/20/2020 6:59:01"/>
            <filter val="10/25/2020 7:54:30"/>
            <filter val="10/4/2020 7:52:55"/>
            <filter val="10/28/2020 7:58:35"/>
            <filter val="10/26/2020 7:22:26"/>
            <filter val="10/14/2020 7:42:12"/>
            <filter val="10/4/2020 19:44:45"/>
            <filter val="10/26/2020 7:19:01"/>
            <filter val="10/20/2020 19:36:47"/>
            <filter val="10/13/2020 7:58:24"/>
            <filter val="10/25/2020 19:47:58"/>
            <filter val="10/26/2020 7:19:03"/>
            <filter val="10/16/2020 7:32:10"/>
            <filter val="10/3/2020 19:46:21"/>
            <filter val="10/17/2020 19:53:25"/>
            <filter val="10/4/2020 20:40:22"/>
            <filter val="10/8/2020 8:28:53"/>
            <filter val="10/17/2020 20:01:27"/>
            <filter val="10/14/2020 7:58:50"/>
            <filter val="10/2/2020 19:36:19"/>
            <filter val="10/9/2020 7:19:12"/>
            <filter val="10/3/2020 19:22:58"/>
            <filter val="10/27/2020 7:42:38"/>
            <filter val="10/16/2020 19:43:27"/>
            <filter val="10/21/2020 20:01:43"/>
            <filter val="10/28/2020 19:45:36"/>
            <filter val="10/7/2020 7:46:43"/>
            <filter val="10/31/2020 16:59:56"/>
            <filter val="10/25/2020 20:04:07"/>
            <filter val="10/4/2020 7:56:51"/>
            <filter val="10/9/2020 19:44:29"/>
            <filter val="10/16/2020 20:13:30"/>
            <filter val="10/1/2020 19:24:33"/>
            <filter val="10/21/2020 7:44:41"/>
            <filter val="10/4/2020 7:56:54"/>
            <filter val="10/6/2020 6:35:24"/>
            <filter val="10/5/2020 7:44:48"/>
            <filter val="10/3/2020 19:04:43"/>
            <filter val="10/9/2020 19:32:47"/>
            <filter val="10/4/2020 7:46:05"/>
            <filter val="10/22/2020 7:46:08"/>
            <filter val="10/13/2020 19:35:21"/>
            <filter val="10/20/2020 19:38:07"/>
            <filter val="10/4/2020 7:46:06"/>
            <filter val="10/21/2020 7:54:54"/>
            <filter val="10/18/2020 19:53:12"/>
            <filter val="10/27/2020 19:35:38"/>
            <filter val="10/7/2020 6:47:31"/>
            <filter val="11/2/2020 7:53:39"/>
            <filter val="10/15/2020 7:42:22"/>
            <filter val="10/14/2020 7:40:41"/>
            <filter val="10/9/2020 9:04:44"/>
            <filter val="10/11/2020 19:35:36"/>
            <filter val="10/22/2020 7:46:14"/>
            <filter val="10/9/2020 19:44:34"/>
            <filter val="10/6/2020 7:58:05"/>
            <filter val="10/9/2020 19:32:57"/>
            <filter val="10/1/2020 19:46:54"/>
            <filter val="10/2/2020 8:32:06"/>
            <filter val="10/1/2020 20:03:48"/>
            <filter val="10/17/2020 7:56:23"/>
            <filter val="10/5/2020 7:56:15"/>
            <filter val="10/5/2020 7:56:18"/>
            <filter val="10/14/2020 20:00:20"/>
            <filter val="10/5/2020 8:32:55"/>
            <filter val="10/20/2020 7:32:12"/>
            <filter val="10/8/2020 7:48:49"/>
            <filter val="10/25/2020 19:35:31"/>
            <filter val="10/16/2020 7:30:28"/>
            <filter val="10/15/2020 19:33:36"/>
            <filter val="10/6/2020 6:37:23"/>
            <filter val="10/29/2020 19:45:34"/>
            <filter val="10/15/2020 10:47:53"/>
            <filter val="10/6/2020 7:48:13"/>
            <filter val="10/1/2020 20:03:54"/>
            <filter val="10/12/2020 7:46:52"/>
            <filter val="10/1/2020 20:03:55"/>
            <filter val="10/1/2020 20:03:56"/>
            <filter val="10/15/2020 7:29:15"/>
            <filter val="10/23/2020 4:51:05"/>
            <filter val="10/7/2020 17:13:31"/>
            <filter val="10/9/2020 20:47:21"/>
            <filter val="10/23/2020 18:35:52"/>
            <filter val="10/16/2020 20:13:00"/>
            <filter val="10/8/2020 19:56:33"/>
            <filter val="10/22/2020 19:36:28"/>
            <filter val="10/11/2020 19:23:49"/>
            <filter val="10/25/2020 19:47:08"/>
            <filter val="10/5/2020 7:46:43"/>
            <filter val="10/2/2020 19:48:39"/>
            <filter val="10/21/2020 7:34:13"/>
            <filter val="10/11/2020 19:23:40"/>
            <filter val="10/6/2020 3:36:57"/>
            <filter val="10/15/2020 7:30:29"/>
            <filter val="10/5/2020 8:34:51"/>
            <filter val="10/8/2020 19:12:27"/>
            <filter val="10/21/2020 8:56:40"/>
            <filter val="10/9/2020 20:02:41"/>
            <filter val="10/21/2020 7:34:40"/>
            <filter val="10/2/2020 7:30:28"/>
            <filter val="10/20/2020 7:00:02"/>
            <filter val="10/21/2020 7:34:46"/>
            <filter val="10/15/2020 10:47:31"/>
            <filter val="10/26/2020 7:30:52"/>
            <filter val="10/1/2020 19:48:39"/>
            <filter val="10/21/2020 7:34:42"/>
            <filter val="10/21/2020 19:46:39"/>
            <filter val="10/25/2020 7:40:42"/>
            <filter val="10/13/2020 7:48:31"/>
            <filter val="10/29/2020 7:34:34"/>
            <filter val="10/8/2020 19:56:54"/>
            <filter val="10/5/2020 7:34:53"/>
            <filter val="10/8/2020 19:56:53"/>
            <filter val="10/20/2020 7:44:33"/>
            <filter val="10/11/2020 19:33:56"/>
            <filter val="10/21/2020 19:24:33"/>
            <filter val="10/4/2020 19:46:57"/>
            <filter val="10/14/2020 7:40:04"/>
            <filter val="10/10/2020 19:57:11"/>
            <filter val="10/13/2020 19:11:21"/>
            <filter val="10/7/2020 6:50:08"/>
            <filter val="10/1/2020 19:48:34"/>
            <filter val="10/24/2020 7:50:34"/>
            <filter val="10/20/2020 7:32:58"/>
            <filter val="10/8/2020 8:28:09"/>
            <filter val="10/21/2020 7:34:36"/>
            <filter val="10/7/2020 7:26:35"/>
            <filter val="10/9/2020 7:52:20"/>
            <filter val="10/21/2020 7:34:33"/>
            <filter val="10/14/2020 19:55:43"/>
            <filter val="10/8/2020 21:03:15"/>
            <filter val="10/16/2020 19:43:47"/>
            <filter val="10/2/2020 19:36:41"/>
            <filter val="10/9/2020 19:46:18"/>
            <filter val="10/15/2020 7:30:09"/>
            <filter val="10/8/2020 19:46:28"/>
            <filter val="10/14/2020 20:02:02"/>
            <filter val="10/9/2020 19:56:53"/>
            <filter val="10/9/2020 7:40:49"/>
            <filter val="10/5/2020 22:58:56"/>
            <filter val="10/25/2020 8:42:55"/>
            <filter val="10/9/2020 19:36:23"/>
            <filter val="10/15/2020 19:35:13"/>
            <filter val="10/13/2020 19:13:55"/>
            <filter val="10/15/2020 15:50:43"/>
            <filter val="10/29/2020 20:18:28"/>
            <filter val="10/29/2020 8:11:24"/>
            <filter val="10/9/2020 7:51:44"/>
            <filter val="10/3/2020 19:55:08"/>
            <filter val="10/28/2020 19:43:04"/>
            <filter val="10/29/2020 19:42:00"/>
            <filter val="10/15/2020 7:50:50"/>
            <filter val="10/14/2020 7:26:48"/>
            <filter val="10/7/2020 7:27:12"/>
            <filter val="10/6/2020 7:48:51"/>
            <filter val="10/4/2020 7:36:16"/>
            <filter val="10/9/2020 20:49:02"/>
            <filter val="10/25/2020 8:44:01"/>
            <filter val="10/6/2020 3:31:10"/>
            <filter val="10/17/2020 19:45:06"/>
            <filter val="10/14/2020 7:38:27"/>
            <filter val="10/26/2020 7:15:33"/>
            <filter val="10/26/2020 18:38:57"/>
            <filter val="10/4/2020 7:48:17"/>
            <filter val="10/2/2020 19:09:34"/>
            <filter val="10/2/2020 7:22:49"/>
            <filter val="10/1/2020 20:00:38"/>
            <filter val="10/14/2020 7:26:27"/>
            <filter val="10/22/2020 7:36:41"/>
            <filter val="10/25/2020 19:44:46"/>
            <filter val="10/8/2020 19:37:09"/>
            <filter val="10/25/2020 19:44:41"/>
            <filter val="10/5/2020 7:35:49"/>
            <filter val="10/8/2020 19:35:56"/>
            <filter val="10/8/2020 19:35:54"/>
            <filter val="10/21/2020 10:30:12"/>
            <filter val="10/8/2020 19:35:52"/>
            <filter val="10/2/2020 7:34:39"/>
            <filter val="10/17/2020 19:45:29"/>
            <filter val="10/2/2020 7:24:11"/>
            <filter val="10/13/2020 19:50:02"/>
            <filter val="10/2/2020 19:44:17"/>
            <filter val="10/13/2020 19:37:31"/>
            <filter val="10/18/2020 19:08:12"/>
            <filter val="10/14/2020 20:03:18"/>
            <filter val="10/27/2020 18:15:56"/>
            <filter val="10/8/2020 19:03:10"/>
            <filter val="10/5/2020 8:30:30"/>
            <filter val="10/24/2020 7:47:39"/>
            <filter val="10/11/2020 19:15:14"/>
            <filter val="10/20/2020 7:02:02"/>
            <filter val="10/25/2020 19:44:26"/>
            <filter val="10/9/2020 20:49:32"/>
            <filter val="10/12/2020 7:50:45"/>
            <filter val="10/3/2020 7:45:40"/>
            <filter val="10/17/2020 8:01:11"/>
            <filter val="10/29/2020 8:08:55"/>
            <filter val="10/27/2020 8:00:11"/>
            <filter val="10/5/2020 8:32:20"/>
            <filter val="10/1/2020 19:55:46"/>
            <filter val="10/8/2020 19:59:27"/>
            <filter val="10/15/2020 14:56:07"/>
            <filter val="10/16/2020 19:58:38"/>
            <filter val="10/1/2020 19:47:02"/>
            <filter val="10/17/2020 19:45:48"/>
            <filter val="10/9/2020 8:09:09"/>
            <filter val="10/13/2020 19:13:20"/>
            <filter val="10/6/2020 7:38:31"/>
            <filter val="10/2/2020 19:46:24"/>
            <filter val="10/4/2020 7:46:39"/>
            <filter val="10/27/2020 7:41:26"/>
            <filter val="10/1/2020 19:55:52"/>
            <filter val="10/1/2020 19:55:55"/>
            <filter val="10/21/2020 7:50:04"/>
            <filter val="10/1/2020 19:55:56"/>
            <filter val="10/1/2020 19:55:53"/>
            <filter val="10/1/2020 19:55:59"/>
            <filter val="10/16/2020 15:48:34"/>
            <filter val="10/22/2020 18:55:25"/>
            <filter val="10/1/2020 19:55:57"/>
            <filter val="10/5/2020 7:37:31"/>
            <filter val="10/18/2020 19:06:25"/>
            <filter val="10/11/2020 19:54:07"/>
            <filter val="10/5/2020 7:50:02"/>
            <filter val="10/1/2020 19:23:18"/>
            <filter val="10/10/2020 19:43:12"/>
            <filter val="10/22/2020 7:38:28"/>
            <filter val="10/13/2020 7:51:56"/>
            <filter val="11/2/2020 7:58:09"/>
            <filter val="10/8/2020 19:37:51"/>
            <filter val="10/28/2020 19:41:41"/>
            <filter val="10/8/2020 19:37:50"/>
            <filter val="10/4/2020 7:58:27"/>
            <filter val="10/18/2020 19:56:47"/>
            <filter val="10/28/2020 7:52:57"/>
            <filter val="10/9/2020 19:36:52"/>
            <filter val="10/25/2020 19:42:56"/>
            <filter val="10/17/2020 19:47:09"/>
            <filter val="10/3/2020 19:06:12"/>
            <filter val="10/15/2020 12:10:40"/>
            <filter val="10/2/2020 19:44:59"/>
            <filter val="10/2/2020 19:46:00"/>
            <filter val="10/27/2020 18:15:15"/>
            <filter val="10/12/2020 19:36:31"/>
            <filter val="10/29/2020 7:43:29"/>
            <filter val="10/14/2020 19:58:35"/>
            <filter val="10/16/2020 19:46:37"/>
            <filter val="10/28/2020 7:30:43"/>
            <filter val="10/8/2020 19:59:51"/>
            <filter val="10/25/2020 7:46:43"/>
            <filter val="10/16/2020 19:48:20"/>
            <filter val="10/24/2020 19:21:16"/>
            <filter val="10/8/2020 19:39:49"/>
            <filter val="10/4/2020 7:51:17"/>
            <filter val="10/14/2020 7:36:19"/>
            <filter val="10/11/2020 19:30:56"/>
            <filter val="10/15/2020 7:47:43"/>
            <filter val="10/2/2020 7:38:14"/>
            <filter val="10/27/2020 8:02:09"/>
            <filter val="10/13/2020 8:33:42"/>
            <filter val="10/22/2020 19:51:49"/>
            <filter val="10/1/2020 19:55:07"/>
            <filter val="10/5/2020 22:42:20"/>
            <filter val="10/19/2020 18:39:33"/>
            <filter val="10/5/2020 7:29:06"/>
            <filter val="10/9/2020 20:09:50"/>
            <filter val="10/7/2020 7:00:45"/>
            <filter val="10/26/2020 18:43:06"/>
            <filter val="10/17/2020 9:13:06"/>
            <filter val="10/12/2020 19:41:41"/>
            <filter val="10/26/2020 19:18:42"/>
            <filter val="10/25/2020 19:42:23"/>
            <filter val="10/14/2020 7:46:38"/>
            <filter val="10/8/2020 19:52:45"/>
            <filter val="10/23/2020 19:17:09"/>
            <filter val="10/6/2020 7:51:41"/>
            <filter val="10/28/2020 7:47:58"/>
            <filter val="10/5/2020 7:27:38"/>
            <filter val="10/28/2020 19:41:04"/>
            <filter val="10/26/2020 7:23:48"/>
            <filter val="10/14/2020 20:05:23"/>
            <filter val="10/5/2020 7:39:24"/>
            <filter val="10/14/2020 7:34:43"/>
            <filter val="10/4/2020 7:41:01"/>
            <filter val="10/16/2020 19:48:10"/>
            <filter val="10/15/2020 7:35:53"/>
            <filter val="10/28/2020 19:38:18"/>
            <filter val="10/3/2020 20:00:45"/>
            <filter val="10/14/2020 7:54:31"/>
            <filter val="10/9/2020 19:51:09"/>
            <filter val="10/7/2020 8:00:09"/>
            <filter val="10/1/2020 20:09:28"/>
            <filter val="10/6/2020 7:28:55"/>
            <filter val="10/16/2020 19:36:40"/>
            <filter val="10/22/2020 19:53:34"/>
            <filter val="10/2/2020 7:24:44"/>
            <filter val="10/5/2020 7:52:52"/>
            <filter val="10/3/2020 19:41:44"/>
            <filter val="10/29/2020 19:52:06"/>
            <filter val="10/9/2020 19:28:37"/>
            <filter val="10/8/2020 19:42:10"/>
            <filter val="10/28/2020 7:40:01"/>
            <filter val="10/2/2020 19:54:27"/>
            <filter val="10/14/2020 20:05:48"/>
            <filter val="10/18/2020 19:58:47"/>
            <filter val="10/24/2020 7:45:15"/>
            <filter val="10/9/2020 19:41:19"/>
            <filter val="10/24/2020 7:45:22"/>
            <filter val="10/28/2020 7:27:14"/>
            <filter val="10/6/2020 7:43:07"/>
            <filter val="10/20/2020 8:14:59"/>
            <filter val="10/17/2020 8:15:36"/>
            <filter val="10/1/2020 19:31:58"/>
            <filter val="10/7/2020 6:32:20"/>
            <filter val="10/5/2020 7:29:49"/>
            <filter val="10/11/2020 7:41:31"/>
            <filter val="10/8/2020 7:55:35"/>
            <filter val="10/26/2020 18:53:03"/>
            <filter val="10/3/2020 7:47:58"/>
            <filter val="10/27/2020 19:39:07"/>
            <filter val="10/7/2020 7:00:00"/>
            <filter val="10/7/2020 6:56:15"/>
            <filter val="10/1/2020 20:22:00"/>
            <filter val="10/14/2020 7:34:27"/>
            <filter val="10/16/2020 19:51:03"/>
            <filter val="10/29/2020 8:06:46"/>
            <filter val="10/10/2020 7:39:25"/>
            <filter val="10/26/2020 19:18:00"/>
            <filter val="10/5/2020 7:40:44"/>
            <filter val="10/8/2020 8:21:37"/>
            <filter val="10/29/2020 7:41:10"/>
            <filter val="10/2/2020 19:09:00"/>
            <filter val="10/17/2020 19:49:13"/>
            <filter val="10/17/2020 7:59:49"/>
            <filter val="10/25/2020 8:34:16"/>
            <filter val="10/17/2020 19:49:10"/>
            <filter val="10/17/2020 19:50:15"/>
            <filter val="10/8/2020 19:40:51"/>
            <filter val="10/17/2020 7:27:12"/>
            <filter val="10/2/2020 7:24:55"/>
            <filter val="10/3/2020 19:08:35"/>
            <filter val="10/28/2020 19:38:57"/>
            <filter val="10/6/2020 19:52:32"/>
            <filter val="10/13/2020 19:40:09"/>
            <filter val="10/28/2020 19:38:53"/>
            <filter val="10/14/2020 7:34:03"/>
            <filter val="10/16/2020 19:48:57"/>
            <filter val="10/9/2020 19:51:43"/>
            <filter val="10/9/2020 7:46:25"/>
            <filter val="10/15/2020 7:45:51"/>
            <filter val="10/6/2020 3:33:03"/>
            <filter val="10/14/2020 7:44:44"/>
            <filter val="10/8/2020 18:52:30"/>
            <filter val="10/24/2020 7:43:30"/>
            <filter val="10/25/2020 7:43:54"/>
            <filter val="10/9/2020 19:41:57"/>
            <filter val="10/1/2020 19:52:06"/>
            <filter val="10/6/2020 8:01:56"/>
            <filter val="10/20/2020 19:33:57"/>
            <filter val="10/6/2020 19:57:11"/>
            <filter val="10/9/2020 7:57:29"/>
            <filter val="10/2/2020 18:45:30"/>
            <filter val="10/23/2020 7:31:31"/>
            <filter val="10/10/2020 19:46:26"/>
            <filter val="10/14/2020 7:55:58"/>
            <filter val="10/12/2020 7:55:14"/>
            <filter val="10/6/2020 3:35:56"/>
            <filter val="10/16/2020 19:52:00"/>
            <filter val="10/13/2020 7:43:41"/>
            <filter val="10/15/2020 19:52:20"/>
            <filter val="10/4/2020 7:53:50"/>
            <filter val="10/7/2020 7:55:34"/>
            <filter val="10/8/2020 21:02:18"/>
            <filter val="10/5/2020 7:53:52"/>
            <filter val="10/17/2020 19:49:46"/>
            <filter val="10/25/2020 19:51:56"/>
            <filter val="10/11/2020 7:31:38"/>
            <filter val="10/1/2020 19:40:08"/>
            <filter val="10/6/2020 19:45:13"/>
            <filter val="10/10/2020 19:58:07"/>
            <filter val="10/2/2020 18:55:54"/>
            <filter val="11/2/2020 7:40:06"/>
            <filter val="10/16/2020 19:49:50"/>
            <filter val="10/10/2020 7:41:23"/>
            <filter val="10/5/2020 19:33:59"/>
            <filter val="10/26/2020 19:16:29"/>
            <filter val="10/8/2020 19:43:09"/>
            <filter val="10/5/2020 8:35:34"/>
            <filter val="10/28/2020 7:45:40"/>
            <filter val="10/14/2020 19:54:32"/>
            <filter val="10/16/2020 15:56:09"/>
            <filter val="10/21/2020 20:00:18"/>
            <filter val="10/16/2020 7:35:16"/>
            <filter val="10/20/2020 19:35:09"/>
            <filter val="10/17/2020 7:59:12"/>
            <filter val="10/25/2020 7:55:42"/>
            <filter val="10/17/2020 7:59:13"/>
            <filter val="10/16/2020 19:39:36"/>
            <filter val="10/16/2020 19:40:15"/>
            <filter val="10/23/2020 4:52:06"/>
            <filter val="10/15/2020 19:54:14"/>
            <filter val="10/2/2020 7:38:49"/>
            <filter val="10/11/2020 19:32:32"/>
            <filter val="10/20/2020 19:33:12"/>
            <filter val="10/17/2020 7:57:08"/>
            <filter val="10/17/2020 20:02:40"/>
            <filter val="10/29/2020 7:47:58"/>
            <filter val="10/6/2020 8:01:10"/>
            <filter val="10/3/2020 19:49:59"/>
            <filter val="10/13/2020 19:09:26"/>
            <filter val="10/3/2020 19:50:31"/>
            <filter val="10/1/2020 19:50:31"/>
            <filter val="10/5/2020 19:45:19"/>
            <filter val="10/1/2020 19:30:08"/>
            <filter val="10/1/2020 19:40:52"/>
            <filter val="10/29/2020 7:47:46"/>
            <filter val="10/28/2020 19:36:57"/>
            <filter val="10/7/2020 19:43:25"/>
            <filter val="10/14/2020 7:31:37"/>
            <filter val="10/24/2020 18:48:32"/>
            <filter val="10/3/2020 19:49:48"/>
            <filter val="10/9/2020 8:03:22"/>
            <filter val="10/6/2020 3:35:05"/>
            <filter val="10/16/2020 19:52:54"/>
            <filter val="10/21/2020 7:31:25"/>
            <filter val="10/14/2020 18:57:52"/>
            <filter val="10/4/2020 7:53:06"/>
            <filter val="10/8/2020 19:33:00"/>
            <filter val="10/9/2020 19:43:18"/>
            <filter val="10/26/2020 7:23:02"/>
            <filter val="10/15/2020 19:52:57"/>
            <filter val="10/26/2020 6:06:13"/>
            <filter val="10/26/2020 19:48:17"/>
            <filter val="10/21/2020 19:55:29"/>
            <filter val="10/4/2020 19:49:39"/>
            <filter val="10/9/2020 19:31:39"/>
            <filter val="10/17/2020 19:52:36"/>
            <filter val="10/4/2020 19:50:22"/>
            <filter val="10/7/2020 7:06:56"/>
            <filter val="10/1/2020 19:50:51"/>
            <filter val="10/14/2020 4:32:25"/>
            <filter val="10/16/2020 7:33:30"/>
            <filter val="10/25/2020 8:37:12"/>
            <filter val="10/17/2020 19:40:52"/>
            <filter val="10/21/2020 7:31:43"/>
            <filter val="10/1/2020 19:39:47"/>
            <filter val="10/12/2020 7:55:45"/>
            <filter val="10/16/2020 19:40:56"/>
            <filter val="10/9/2020 7:43:30"/>
            <filter val="10/13/2020 8:35:07"/>
            <filter val="10/1/2020 19:29:09"/>
            <filter val="10/10/2020 19:48:30"/>
            <filter val="10/1/2020 19:40:29"/>
            <filter val="10/12/2020 19:42:31"/>
            <filter val="10/13/2020 19:07:54"/>
            <filter val="10/15/2020 19:32:23"/>
            <filter val="10/15/2020 19:54:53"/>
            <filter val="10/17/2020 19:42:05"/>
            <filter val="10/5/2020 7:45:39"/>
            <filter val="10/29/2020 19:44:24"/>
            <filter val="10/18/2020 19:52:22"/>
            <filter val="10/16/2020 19:42:45"/>
            <filter val="10/5/2020 7:45:44"/>
            <filter val="10/1/2020 20:02:45"/>
            <filter val="10/10/2020 19:14:32"/>
            <filter val="10/21/2020 7:33:18"/>
            <filter val="10/8/2020 7:47:47"/>
            <filter val="10/6/2020 7:47:09"/>
            <filter val="10/13/2020 19:09:59"/>
            <filter val="10/22/2020 7:33:49"/>
            <filter val="10/25/2020 19:48:13"/>
            <filter val="10/25/2020 19:48:11"/>
            <filter val="10/22/2020 7:45:20"/>
            <filter val="10/21/2020 8:55:03"/>
            <filter val="10/11/2020 19:14:17"/>
            <filter val="10/2/2020 19:35:54"/>
            <filter val="10/8/2020 19:33:44"/>
            <filter val="10/25/2020 19:36:24"/>
            <filter val="10/25/2020 19:48:07"/>
            <filter val="10/1/2020 19:47:37"/>
            <filter val="10/25/2020 19:48:05"/>
            <filter val="10/29/2020 19:54:47"/>
            <filter val="10/10/2020 19:44:27"/>
            <filter val="10/25/2020 19:48:09"/>
            <filter val="10/1/2020 19:47:32"/>
            <filter val="10/20/2020 7:31:36"/>
            <filter val="10/25/2020 19:55:25"/>
            <filter val="10/25/2020 19:48:02"/>
            <filter val="10/25/2020 19:48:00"/>
            <filter val="10/17/2020 19:54:12"/>
            <filter val="10/28/2020 19:46:14"/>
            <filter val="10/5/2020 7:33:29"/>
            <filter val="10/4/2020 7:57:30"/>
            <filter val="10/21/2020 19:47:55"/>
            <filter val="10/23/2020 7:28:08"/>
            <filter val="10/22/2020 7:45:48"/>
            <filter val="10/11/2020 19:12:54"/>
            <filter val="10/1/2020 19:50:18"/>
            <filter val="10/27/2020 19:34:50"/>
            <filter val="10/2/2020 8:31:38"/>
            <filter val="10/23/2020 19:45:16"/>
            <filter val="10/13/2020 7:47:31"/>
            <filter val="10/6/2020 8:03:30"/>
            <filter val="10/8/2020 19:13:19"/>
            <filter val="10/4/2020 19:45:58"/>
            <filter val="10/14/2020 7:41:05"/>
            <filter val="10/14/2020 7:41:03"/>
            <filter val="10/4/2020 7:55:21"/>
            <filter val="10/6/2020 19:57:58"/>
            <filter val="10/9/2020 19:35:18"/>
            <filter val="10/11/2020 19:24:05"/>
            <filter val="10/16/2020 19:44:22"/>
            <filter val="10/3/2020 19:47:34"/>
            <filter val="10/14/2020 20:01:03"/>
            <filter val="10/31/2020 19:48:02"/>
            <filter val="10/4/2020 7:55:15"/>
            <filter val="10/8/2020 19:35:51"/>
            <filter val="10/4/2020 7:55:14"/>
            <filter val="10/20/2020 7:33:34"/>
            <filter val="10/4/2020 7:55:19"/>
            <filter val="10/4/2020 7:55:17"/>
            <filter val="10/21/2020 9:01:03"/>
            <filter val="10/10/2020 7:35:00"/>
            <filter val="10/1/2020 19:27:11"/>
            <filter val="10/7/2020 17:12:44"/>
            <filter val="10/5/2020 22:49:14"/>
            <filter val="10/26/2020 5:29:50"/>
            <filter val="10/16/2020 20:12:31"/>
            <filter val="10/4/2020 7:55:32"/>
            <filter val="10/3/2020 7:43:05"/>
            <filter val="10/3/2020 19:47:15"/>
            <filter val="10/13/2020 19:10:31"/>
            <filter val="10/1/2020 19:49:24"/>
            <filter val="10/29/2020 7:45:22"/>
            <filter val="10/14/2020 20:01:16"/>
            <filter val="10/8/2020 7:49:35"/>
            <filter val="10/13/2020 19:32:47"/>
            <filter val="10/15/2020 10:48:32"/>
            <filter val="10/5/2020 7:47:15"/>
            <filter val="10/1/2020 20:04:35"/>
            <filter val="10/25/2020 8:39:17"/>
            <filter val="10/28/2020 19:44:21"/>
            <filter val="10/25/2020 7:28:22"/>
            <filter val="10/11/2020 19:34:48"/>
            <filter val="10/10/2020 19:56:27"/>
            <filter val="10/9/2020 8:40:50"/>
            <filter val="10/25/2020 20:01:58"/>
            <filter val="10/4/2020 7:55:41"/>
            <filter val="10/6/2020 7:59:01"/>
            <filter val="10/29/2020 7:35:07"/>
            <filter val="10/2/2020 7:08:16"/>
            <filter val="10/25/2020 8:50:52"/>
            <filter val="10/14/2020 19:56:06"/>
            <filter val="10/16/2020 20:34:45"/>
            <filter val="10/21/2020 7:35:12"/>
            <filter val="10/9/2020 7:28:42"/>
            <filter val="10/5/2020 7:47:02"/>
            <filter val="10/29/2020 7:35:05"/>
            <filter val="10/13/2020 16:12:21"/>
            <filter val="10/25/2020 19:34:47"/>
            <filter val="10/29/2020 7:35:03"/>
            <filter val="10/5/2020 8:33:51"/>
            <filter val="10/1/2020 19:59:22"/>
            <filter val="10/29/2020 7:45:40"/>
            <filter val="10/21/2020 7:45:45"/>
            <filter val="10/29/2020 7:35:18"/>
            <filter val="10/12/2020 7:47:36"/>
            <filter val="10/14/2020 7:38:46"/>
            <filter val="10/8/2020 7:50:35"/>
            <filter val="10/15/2020 7:28:54"/>
            <filter val="10/10/2020 19:46:14"/>
            <filter val="10/22/2020 7:35:45"/>
            <filter val="10/6/2020 3:37:47"/>
            <filter val="10/29/2020 7:35:14"/>
            <filter val="10/7/2020 6:26:46"/>
            <filter val="10/1/2020 19:59:32"/>
            <filter val="10/29/2020 7:35:11"/>
            <filter val="10/5/2020 7:36:47"/>
            <filter val="10/5/2020 8:31:05"/>
            <filter val="10/8/2020 19:14:21"/>
            <filter val="10/28/2020 7:28:33"/>
            <filter val="10/25/2020 7:37:57"/>
            <filter val="10/3/2020 19:20:23"/>
            <filter val="10/22/2020 19:37:22"/>
            <filter val="10/14/2020 19:59:10"/>
            <filter val="10/5/2020 7:48:34"/>
            <filter val="10/10/2020 7:24:33"/>
            <filter val="10/14/2020 7:51:10"/>
            <filter val="10/5/2020 7:48:38"/>
            <filter val="10/14/2020 7:27:15"/>
            <filter val="10/6/2020 7:50:01"/>
            <filter val="10/10/2020 19:40:41"/>
            <filter val="10/21/2020 7:46:40"/>
            <filter val="10/25/2020 19:33:56"/>
            <filter val="10/15/2020 19:24:07"/>
            <filter val="10/6/2020 17:06:31"/>
            <filter val="10/20/2020 7:47:07"/>
            <filter val="10/17/2020 9:14:56"/>
            <filter val="10/29/2020 20:19:01"/>
            <filter val="10/15/2020 19:58:02"/>
            <filter val="10/20/2020 7:01:06"/>
            <filter val="10/9/2020 19:37:09"/>
            <filter val="10/8/2020 19:48:31"/>
            <filter val="10/12/2020 7:48:25"/>
            <filter val="10/12/2020 19:39:09"/>
            <filter val="10/16/2020 20:11:30"/>
            <filter val="10/31/2020 19:48:50"/>
            <filter val="10/7/2020 7:26:52"/>
            <filter val="10/16/2020 15:50:37"/>
            <filter val="10/16/2020 15:49:44"/>
            <filter val="10/1/2020 19:58:06"/>
            <filter val="10/7/2020 6:35:01"/>
            <filter val="10/3/2020 19:07:38"/>
            <filter val="10/9/2020 7:50:49"/>
            <filter val="10/5/2020 21:47:18"/>
            <filter val="10/16/2020 7:29:10"/>
            <filter val="10/16/2020 19:23:25"/>
            <filter val="10/6/2020 7:49:01"/>
            <filter val="10/15/2020 17:48:47"/>
            <filter val="10/7/2020 19:49:59"/>
            <filter val="10/28/2020 19:42:51"/>
            <filter val="10/1/2020 19:58:11"/>
            <filter val="10/4/2020 7:59:58"/>
            <filter val="10/20/2020 21:21:41"/>
            <filter val="10/29/2020 20:20:18"/>
            <filter val="10/14/2020 7:50:06"/>
            <filter val="10/15/2020 19:56:44"/>
            <filter val="10/25/2020 19:45:02"/>
            <filter val="10/7/2020 17:07:12"/>
            <filter val="10/29/2020 7:29:54"/>
            <filter val="10/20/2020 7:45:45"/>
            <filter val="10/3/2020 19:20:56"/>
            <filter val="10/15/2020 15:38:39"/>
            <filter val="10/13/2020 7:50:31"/>
            <filter val="10/24/2020 19:47:34"/>
            <filter val="10/15/2020 19:34:30"/>
            <filter val="10/16/2020 20:33:24"/>
            <filter val="10/1/2020 20:01:23"/>
            <filter val="10/15/2020 7:28:13"/>
            <filter val="10/26/2020 18:49:47"/>
            <filter val="10/13/2020 7:49:50"/>
            <filter val="10/6/2020 7:39:15"/>
            <filter val="10/13/2020 7:40:14"/>
            <filter val="10/9/2020 7:50:29"/>
            <filter val="10/26/2020 5:28:15"/>
            <filter val="10/17/2020 8:36:05"/>
            <filter val="10/9/2020 19:37:39"/>
            <filter val="10/3/2020 19:44:37"/>
            <filter val="10/14/2020 7:51:51"/>
            <filter val="10/27/2020 7:42:07"/>
            <filter val="10/5/2020 7:26:47"/>
            <filter val="10/29/2020 19:43:13"/>
            <filter val="10/18/2020 19:55:54"/>
            <filter val="10/16/2020 19:47:19"/>
            <filter val="10/18/2020 19:07:18"/>
            <filter val="10/10/2020 7:02:47"/>
            <filter val="10/14/2020 7:37:28"/>
            <filter val="10/4/2020 19:43:41"/>
            <filter val="10/16/2020 19:57:54"/>
            <filter val="10/6/2020 7:39:05"/>
            <filter val="10/29/2020 19:53:41"/>
            <filter val="10/29/2020 7:42:30"/>
            <filter val="10/21/2020 19:48:41"/>
            <filter val="10/3/2020 19:07:01"/>
            <filter val="10/10/2020 19:42:37"/>
            <filter val="10/10/2020 19:42:38"/>
            <filter val="10/9/2020 19:50:19"/>
            <filter val="10/1/2020 19:46:31"/>
            <filter val="10/25/2020 19:33:09"/>
            <filter val="10/6/2020 7:50:54"/>
            <filter val="10/14/2020 19:57:42"/>
            <filter val="10/1/2020 20:01:45"/>
            <filter val="10/12/2020 7:51:20"/>
            <filter val="10/8/2020 19:04:02"/>
            <filter val="10/3/2020 19:56:04"/>
            <filter val="10/11/2020 7:50:16"/>
            <filter val="10/14/2020 7:53:09"/>
            <filter val="10/4/2020 7:57:48"/>
            <filter val="10/22/2020 19:39:10"/>
            <filter val="10/6/2020 19:48:45"/>
            <filter val="10/9/2020 20:51:15"/>
            <filter val="10/2/2020 18:51:51"/>
            <filter val="10/25/2020 7:37:38"/>
            <filter val="10/3/2020 7:46:33"/>
            <filter val="10/14/2020 7:37:09"/>
            <filter val="10/6/2020 7:49:46"/>
            <filter val="10/9/2020 7:49:25"/>
            <filter val="10/9/2020 19:47:59"/>
            <filter val="10/15/2020 14:55:24"/>
            <filter val="10/26/2020 7:38:51"/>
            <filter val="10/5/2020 8:31:37"/>
            <filter val="10/20/2020 19:39:01"/>
            <filter val="10/5/2020 7:38:14"/>
            <filter val="10/13/2020 19:36:20"/>
            <filter val="10/16/2020 15:47:50"/>
            <filter val="10/24/2020 19:20:56"/>
            <filter val="10/18/2020 19:57:28"/>
            <filter val="10/2/2020 19:45:27"/>
            <filter val="10/13/2020 7:52:15"/>
            <filter val="10/7/2020 7:01:36"/>
            <filter val="10/5/2020 7:48:48"/>
            <filter val="10/21/2020 7:48:31"/>
            <filter val="10/5/2020 7:48:40"/>
            <filter val="10/1/2020 19:30:59"/>
            <filter val="10/17/2020 8:14:11"/>
            <filter val="10/16/2020 19:47:50"/>
            <filter val="10/7/2020 6:31:18"/>
            <filter val="10/3/2020 7:26:46"/>
            <filter val="10/24/2020 19:49:29"/>
            <filter val="10/6/2020 7:52:27"/>
            <filter val="10/21/2020 7:26:32"/>
            <filter val="10/14/2020 7:35:47"/>
            <filter val="10/2/2020 19:53:17"/>
            <filter val="10/13/2020 8:34:23"/>
            <filter val="10/8/2020 19:04:53"/>
            <filter val="10/3/2020 19:39:55"/>
            <filter val="10/7/2020 8:01:00"/>
            <filter val="10/16/2020 19:49:02"/>
            <filter val="10/6/2020 7:52:44"/>
            <filter val="10/23/2020 7:33:42"/>
            <filter val="10/26/2020 7:36:02"/>
            <filter val="10/5/2020 7:51:24"/>
            <filter val="10/16/2020 19:49:06"/>
            <filter val="10/6/2020 19:41:56"/>
            <filter val="10/9/2020 8:01:41"/>
            <filter val="10/4/2020 7:39:37"/>
            <filter val="10/3/2020 19:52:03"/>
            <filter val="10/16/2020 15:52:58"/>
            <filter val="10/17/2020 9:14:01"/>
            <filter val="10/28/2020 7:26:39"/>
            <filter val="10/2/2020 23:10:41"/>
            <filter val="10/7/2020 19:30:40"/>
            <filter val="10/29/2020 8:07:24"/>
            <filter val="10/12/2020 7:51:30"/>
            <filter val="10/15/2020 7:26:05"/>
            <filter val="10/14/2020 4:33:40"/>
            <filter val="10/9/2020 8:01:52"/>
            <filter val="10/15/2020 7:46:55"/>
            <filter val="10/9/2020 7:59:11"/>
            <filter val="10/25/2020 8:47:16"/>
            <filter val="10/25/2020 8:35:32"/>
            <filter val="10/28/2020 7:48:39"/>
            <filter val="10/22/2020 7:39:41"/>
            <filter val="10/21/2020 19:53:51"/>
            <filter val="10/5/2020 7:51:02"/>
            <filter val="10/8/2020 19:38:54"/>
            <filter val="10/13/2020 19:41:14"/>
            <filter val="10/16/2020 19:59:22"/>
            <filter val="10/4/2020 7:52:14"/>
            <filter val="10/1/2020 19:56:00"/>
            <filter val="10/3/2020 19:52:26"/>
            <filter val="10/11/2020 7:40:59"/>
            <filter val="10/17/2020 19:36:48"/>
            <filter val="10/24/2020 19:27:40"/>
            <filter val="10/5/2020 7:53:22"/>
            <filter val="10/9/2020 7:59:08"/>
            <filter val="10/27/2020 18:16:34"/>
            <filter val="10/20/2020 7:49:55"/>
            <filter val="10/28/2020 19:39:52"/>
            <filter val="10/3/2020 19:19:03"/>
            <filter val="10/4/2020 7:49:20"/>
            <filter val="10/12/2020 7:53:39"/>
            <filter val="10/20/2020 8:15:25"/>
            <filter val="10/27/2020 19:51:08"/>
            <filter val="10/2/2020 7:37:08"/>
            <filter val="10/6/2020 7:30:31"/>
            <filter val="10/3/2020 19:09:24"/>
            <filter val="10/6/2020 19:53:24"/>
            <filter val="10/11/2020 7:42:02"/>
            <filter val="10/5/2020 7:53:06"/>
            <filter val="10/16/2020 19:50:34"/>
            <filter val="10/26/2020 7:36:43"/>
            <filter val="10/8/2020 8:22:44"/>
            <filter val="10/3/2020 19:10:04"/>
            <filter val="10/13/2020 16:18:39"/>
            <filter val="10/9/2020 19:39:36"/>
            <filter val="10/24/2020 7:44:20"/>
            <filter val="10/9/2020 19:39:35"/>
            <filter val="10/9/2020 19:39:39"/>
            <filter val="10/7/2020 19:29:50"/>
            <filter val="10/9/2020 19:39:38"/>
            <filter val="10/11/2020 7:29:03"/>
            <filter val="10/7/2020 6:55:09"/>
            <filter val="10/12/2020 7:53:14"/>
            <filter val="10/14/2020 7:33:46"/>
            <filter val="10/23/2020 19:18:17"/>
            <filter val="10/9/2020 8:01:13"/>
            <filter val="10/9/2020 19:52:02"/>
            <filter val="10/16/2020 19:59:55"/>
            <filter val="10/9/2020 19:39:43"/>
            <filter val="10/27/2020 8:03:21"/>
            <filter val="10/9/2020 19:39:40"/>
            <filter val="10/10/2020 7:38:47"/>
            <filter val="10/22/2020 19:52:34"/>
            <filter val="10/2/2020 19:53:52"/>
            <filter val="10/18/2020 19:59:41"/>
            <filter val="10/8/2020 19:51:42"/>
            <filter val="10/23/2020 15:53:49"/>
            <filter val="10/4/2020 20:22:03"/>
            <filter val="10/14/2020 7:33:31"/>
            <filter val="10/24/2020 7:56:16"/>
            <filter val="10/7/2020 17:07:56"/>
            <filter val="10/6/2020 7:30:52"/>
            <filter val="10/12/2020 19:40:18"/>
            <filter val="10/7/2020 8:21:10"/>
            <filter val="10/28/2020 19:39:22"/>
            <filter val="10/12/2020 7:53:20"/>
            <filter val="10/4/2020 7:50:35"/>
            <filter val="10/10/2020 7:51:00"/>
          </filters>
        </filterColumn>
        <filterColumn colId="3">
          <filters blank="1">
            <filter val="SMT"/>
          </filters>
        </filterColumn>
      </autoFilter>
    </customSheetView>
    <customSheetView guid="{6D8EF80A-7722-4FF8-B4C4-903D70D16F26}" filter="1" showAutoFilter="1">
      <autoFilter ref="$M$1477"/>
    </customSheetView>
    <customSheetView guid="{3D47E605-B1FF-4B2B-B110-672CB1DC1C51}" filter="1" showAutoFilter="1">
      <autoFilter ref="$P$1479:$P$1733"/>
    </customSheetView>
    <customSheetView guid="{89D6FD8A-E79D-4984-A226-5F85FA51644A}" filter="1" showAutoFilter="1">
      <autoFilter ref="$P$1479:$P$1733"/>
    </customSheetView>
    <customSheetView guid="{5A414DD9-2A2C-4CAB-9BC8-FCD17F8897B1}" filter="1" showAutoFilter="1">
      <autoFilter ref="$P$1479:$P$1733"/>
    </customSheetView>
    <customSheetView guid="{1C1D2E1D-A69E-4F99-B117-81C19A3CB6E3}" filter="1" showAutoFilter="1">
      <autoFilter ref="$A$1:$Z$1466">
        <filterColumn colId="1">
          <filters blank="1">
            <filter val="Смена 1 (20:00 - 8:00)"/>
            <filter val="Смена 2 (20:00 - 8:00)"/>
            <filter val="Смена 1 (8:00 - 20:00)"/>
            <filter val="Смена 3 (8:00 - 20:00)"/>
            <filter val="Смена 3 (20:00 - 8:00)"/>
            <filter val="Смена 4 (20:00 - 8:00)"/>
            <filter val="Смена 4 (8:00 - 20:00)"/>
          </filters>
        </filterColumn>
        <filterColumn colId="15">
          <filters blank="1">
            <filter val="10/17/2020"/>
            <filter val="10/3/2020"/>
            <filter val="10/25/2020"/>
            <filter val="10/22/2020"/>
            <filter val="10/9/2020"/>
            <filter val="10/11/2020"/>
            <filter val="10/14/2020"/>
            <filter val="10/6/2020"/>
            <filter val="10/13/2020"/>
            <filter val="10/28/2020"/>
            <filter val="10/7/2020"/>
            <filter val="10/10/2020"/>
            <filter val="10/21/2020"/>
            <filter val="10/24/2020"/>
            <filter val="10/4/2020"/>
            <filter val="10/16/2020"/>
            <filter val="10/1/2020"/>
            <filter val="11/1/2020"/>
            <filter val="10/27/2020"/>
            <filter val="10/19/2020"/>
            <filter val="10/8/2020"/>
            <filter val="10/29/2020"/>
            <filter val="10/26/2020"/>
            <filter val="10/5/2020"/>
            <filter val="10/20/2020"/>
            <filter val="10/12/2020"/>
            <filter val="10/15/2020"/>
            <filter val="10/23/2020"/>
            <filter val="10/18/2020"/>
            <filter val="10/31/2020"/>
            <filter val="10/2/2020"/>
          </filters>
        </filterColumn>
        <sortState ref="A1:Z1466">
          <sortCondition ref="S1:S1466"/>
        </sortState>
      </autoFilter>
    </customSheetView>
    <customSheetView guid="{7C4657D6-1CDA-4C39-9E63-961867C257B6}" filter="1" showAutoFilter="1">
      <autoFilter ref="$A$1:$Z$1466">
        <filterColumn colId="1">
          <filters blank="1">
            <filter val="Смена 2 (20:00 - 8:00)"/>
          </filters>
        </filterColumn>
        <filterColumn colId="15">
          <filters blank="1">
            <filter val="10/17/2020"/>
            <filter val="10/3/2020"/>
            <filter val="10/25/2020"/>
            <filter val="10/22/2020"/>
            <filter val="10/9/2020"/>
            <filter val="10/11/2020"/>
            <filter val="10/14/2020"/>
            <filter val="10/6/2020"/>
            <filter val="10/13/2020"/>
            <filter val="10/28/2020"/>
            <filter val="10/7/2020"/>
            <filter val="10/10/2020"/>
            <filter val="10/21/2020"/>
            <filter val="10/24/2020"/>
            <filter val="10/4/2020"/>
            <filter val="10/16/2020"/>
            <filter val="10/1/2020"/>
            <filter val="11/1/2020"/>
            <filter val="10/27/2020"/>
            <filter val="10/19/2020"/>
            <filter val="10/8/2020"/>
            <filter val="10/29/2020"/>
            <filter val="10/26/2020"/>
            <filter val="10/5/2020"/>
            <filter val="10/20/2020"/>
            <filter val="10/12/2020"/>
            <filter val="10/15/2020"/>
            <filter val="10/23/2020"/>
            <filter val="10/18/2020"/>
            <filter val="10/31/2020"/>
            <filter val="10/2/2020"/>
          </filters>
        </filterColumn>
      </autoFilter>
    </customSheetView>
    <customSheetView guid="{FB408E23-E8C9-43EF-BB3E-53623CA2A06D}" filter="1" showAutoFilter="1">
      <autoFilter ref="$A$1:$Z$1466">
        <filterColumn colId="1">
          <filters blank="1">
            <filter val="Смена 3 (8:00 - 20:00)"/>
          </filters>
        </filterColumn>
        <filterColumn colId="18">
          <filters>
            <filter val="Савченко Виктория Андреевна"/>
            <filter val="Заславский Антон Игоревич"/>
            <filter val="Сергеев Алексей Андреевич"/>
            <filter val="Куликов Виктор Алексеевич"/>
            <filter val="Никонорова Наталия Владимировна"/>
            <filter val="Пономарев Юрий Андреевич"/>
            <filter val="Шилоносов Максим Евгеньевич"/>
            <filter val="ТНТ"/>
            <filter val="Шергин Родион Олегович"/>
            <filter val="Александрова Елена Сергеевна"/>
            <filter val="Скибинский Антон Германович"/>
            <filter val="Белоглазов Сергей Анатольевич"/>
            <filter val="Хохряков Илья Александрович"/>
            <filter val="Шапенков Геннадий Михайлович"/>
            <filter val="Аникина Раиса Владимировна"/>
            <filter val="Александров Александр Викторович"/>
            <filter val="Стосик Степан Владимирович"/>
            <filter val="учётный код не найден"/>
          </filters>
        </filterColumn>
        <filterColumn colId="0">
          <filters blank="1">
            <filter val="10/22/2020 7:42:21"/>
            <filter val="10/27/2020 19:49:16"/>
            <filter val="10/25/2020 19:40:23"/>
            <filter val="10/16/2020 19:38:58"/>
            <filter val="10/15/2020 7:22:25"/>
            <filter val="10/21/2020 19:56:16"/>
            <filter val="10/9/2020 7:56:57"/>
            <filter val="10/15/2020 7:10:44"/>
            <filter val="10/26/2020 7:32:56"/>
            <filter val="10/6/2020 7:54:51"/>
            <filter val="10/24/2020 7:54:43"/>
            <filter val="10/5/2020 19:34:52"/>
            <filter val="10/17/2020 8:16:32"/>
            <filter val="10/7/2020 19:44:28"/>
            <filter val="10/24/2020 8:02:11"/>
            <filter val="10/17/2020 19:51:05"/>
            <filter val="10/12/2020 7:54:43"/>
            <filter val="10/28/2020 7:58:06"/>
            <filter val="10/3/2020 19:14:32"/>
            <filter val="10/23/2020 7:07:30"/>
            <filter val="10/26/2020 18:45:34"/>
            <filter val="10/22/2020 4:38:45"/>
            <filter val="10/5/2020 19:46:24"/>
            <filter val="10/29/2020 19:57:48"/>
            <filter val="10/27/2020 7:44:53"/>
            <filter val="10/11/2020 19:33:34"/>
            <filter val="10/23/2020 7:20:26"/>
            <filter val="10/15/2020 19:28:53"/>
            <filter val="10/14/2020 19:18:20"/>
            <filter val="10/11/2020 7:42:40"/>
            <filter val="10/18/2020 19:48:25"/>
            <filter val="10/5/2020 22:10:49"/>
            <filter val="10/28/2020 7:34:20"/>
            <filter val="10/23/2020 19:42:46"/>
            <filter val="10/27/2020 19:37:25"/>
            <filter val="10/28/2020 7:34:22"/>
            <filter val="10/23/2020 7:30:56"/>
            <filter val="10/21/2020 7:54:07"/>
            <filter val="10/27/2020 7:44:58"/>
            <filter val="10/29/2020 20:00:46"/>
            <filter val="10/3/2020 7:19:04"/>
            <filter val="10/22/2020 7:42:42"/>
            <filter val="10/10/2020 7:40:59"/>
            <filter val="10/6/2020 7:32:40"/>
            <filter val="10/26/2020 7:20:54"/>
            <filter val="10/4/2020 7:54:33"/>
            <filter val="10/27/2020 8:04:39"/>
            <filter val="10/14/2020 7:44:17"/>
            <filter val="10/21/2020 19:19:55"/>
            <filter val="10/10/2020 7:40:50"/>
            <filter val="10/2/2020 19:48:55"/>
            <filter val="10/15/2020 19:51:48"/>
            <filter val="10/2/2020 7:29:37"/>
            <filter val="10/27/2020 19:37:59"/>
            <filter val="10/25/2020 19:52:34"/>
            <filter val="10/17/2020 7:58:39"/>
            <filter val="10/9/2020 19:30:55"/>
            <filter val="10/7/2020 7:22:26"/>
            <filter val="10/17/2020 7:58:35"/>
            <filter val="10/8/2020 21:01:47"/>
            <filter val="10/1/2020 20:17:31"/>
            <filter val="10/25/2020 8:48:55"/>
            <filter val="10/9/2020 8:04:45"/>
            <filter val="10/8/2020 7:46:18"/>
            <filter val="10/22/2020 19:54:23"/>
            <filter val="10/24/2020 19:30:31"/>
            <filter val="10/27/2020 19:49:26"/>
            <filter val="10/21/2020 19:20:33"/>
            <filter val="10/1/2020 19:28:06"/>
            <filter val="10/27/2020 19:50:19"/>
            <filter val="10/24/2020 19:52:50"/>
            <filter val="10/28/2020 7:34:49"/>
            <filter val="10/4/2020 7:42:58"/>
            <filter val="10/21/2020 7:42:19"/>
            <filter val="10/20/2020 8:12:18"/>
            <filter val="10/15/2020 19:51:37"/>
            <filter val="10/28/2020 19:35:28"/>
            <filter val="10/9/2020 7:56:26"/>
            <filter val="10/14/2020 19:55:07"/>
            <filter val="10/21/2020 19:56:42"/>
            <filter val="10/18/2020 20:15:36"/>
            <filter val="10/4/2020 7:44:00"/>
            <filter val="10/16/2020 19:51:29"/>
            <filter val="10/23/2020 19:42:25"/>
            <filter val="10/16/2020 19:28:29"/>
            <filter val="10/23/2020 19:42:27"/>
            <filter val="10/18/2020 7:58:04"/>
            <filter val="10/23/2020 19:42:28"/>
            <filter val="10/5/2020 7:30:46"/>
            <filter val="10/13/2020 7:44:40"/>
            <filter val="10/15/2020 7:44:41"/>
            <filter val="10/4/2020 8:00:47"/>
            <filter val="10/22/2020 19:54:12"/>
            <filter val="10/5/2020 8:36:15"/>
            <filter val="10/21/2020 7:30:35"/>
            <filter val="10/10/2020 7:39:55"/>
            <filter val="10/15/2020 7:19:59"/>
            <filter val="10/5/2020 7:56:13"/>
            <filter val="10/13/2020 7:44:58"/>
            <filter val="10/5/2020 7:56:14"/>
            <filter val="10/16/2020 20:15:38"/>
            <filter val="10/6/2020 7:56:36"/>
            <filter val="10/4/2020 7:40:42"/>
            <filter val="10/6/2020 7:56:30"/>
            <filter val="10/7/2020 8:02:02"/>
            <filter val="10/20/2020 7:29:49"/>
            <filter val="10/15/2020 7:10:05"/>
            <filter val="10/10/2020 19:47:38"/>
            <filter val="10/17/2020 19:51:45"/>
            <filter val="10/16/2020 19:41:31"/>
            <filter val="10/21/2020 19:54:32"/>
            <filter val="10/14/2020 7:32:12"/>
            <filter val="10/24/2020 18:50:13"/>
            <filter val="10/7/2020 6:29:21"/>
            <filter val="10/21/2020 7:54:33"/>
            <filter val="10/16/2020 19:53:13"/>
            <filter val="10/25/2020 7:42:43"/>
            <filter val="10/7/2020 19:42:41"/>
            <filter val="10/9/2020 7:44:39"/>
            <filter val="10/18/2020 20:01:54"/>
            <filter val="10/17/2020 19:41:07"/>
            <filter val="10/17/2020 19:41:08"/>
            <filter val="10/16/2020 15:53:36"/>
            <filter val="10/28/2020 7:48:18"/>
            <filter val="10/5/2020 21:40:13"/>
            <filter val="10/20/2020 7:29:32"/>
            <filter val="10/14/2020 7:58:15"/>
            <filter val="10/25/2020 19:54:01"/>
            <filter val="10/9/2020 19:54:57"/>
            <filter val="10/25/2020 19:49:26"/>
            <filter val="11/2/2020 7:53:06"/>
            <filter val="10/8/2020 21:01:14"/>
            <filter val="10/5/2020 21:39:21"/>
            <filter val="10/29/2020 7:36:49"/>
            <filter val="10/14/2020 4:31:32"/>
            <filter val="10/18/2020 19:51:23"/>
            <filter val="10/27/2020 7:46:24"/>
            <filter val="10/1/2020 19:51:16"/>
            <filter val="10/5/2020 7:54:56"/>
            <filter val="10/5/2020 7:44:04"/>
            <filter val="10/6/2020 6:39:25"/>
            <filter val="10/29/2020 19:59:19"/>
            <filter val="10/21/2020 7:32:24"/>
            <filter val="10/21/2020 19:54:50"/>
            <filter val="10/14/2020 7:30:55"/>
            <filter val="10/8/2020 8:24:39"/>
            <filter val="10/16/2020 19:51:59"/>
            <filter val="10/9/2020 19:54:25"/>
            <filter val="10/8/2020 19:44:14"/>
            <filter val="10/28/2020 19:47:23"/>
            <filter val="10/23/2020 15:56:44"/>
            <filter val="10/18/2020 7:58:52"/>
            <filter val="10/18/2020 19:51:35"/>
            <filter val="10/5/2020 7:54:40"/>
            <filter val="10/15/2020 7:44:06"/>
            <filter val="10/22/2020 7:44:36"/>
            <filter val="10/17/2020 9:11:41"/>
            <filter val="10/16/2020 15:53:56"/>
            <filter val="10/5/2020 19:44:25"/>
            <filter val="10/23/2020 13:35:10"/>
            <filter val="10/24/2020 7:52:59"/>
            <filter val="10/10/2020 7:42:23"/>
            <filter val="10/7/2020 6:30:16"/>
            <filter val="10/26/2020 7:34:05"/>
            <filter val="10/20/2020 6:59:01"/>
            <filter val="10/18/2020 7:36:37"/>
            <filter val="10/23/2020 19:44:07"/>
            <filter val="10/25/2020 7:54:30"/>
            <filter val="10/4/2020 7:52:55"/>
            <filter val="10/23/2020 7:29:12"/>
            <filter val="10/28/2020 7:58:35"/>
            <filter val="10/18/2020 5:15:16"/>
            <filter val="10/26/2020 7:22:26"/>
            <filter val="10/14/2020 7:42:12"/>
            <filter val="10/4/2020 19:44:45"/>
            <filter val="10/26/2020 7:19:01"/>
            <filter val="10/22/2020 19:58:09"/>
            <filter val="10/20/2020 19:36:47"/>
            <filter val="10/13/2020 7:58:24"/>
            <filter val="10/25/2020 19:47:58"/>
            <filter val="10/26/2020 7:19:03"/>
            <filter val="10/23/2020 19:44:51"/>
            <filter val="10/16/2020 7:32:10"/>
            <filter val="10/3/2020 19:46:21"/>
            <filter val="10/17/2020 19:53:25"/>
            <filter val="10/4/2020 20:40:22"/>
            <filter val="10/8/2020 8:28:53"/>
            <filter val="10/5/2020 8:34:00"/>
            <filter val="10/12/2020 7:46:09"/>
            <filter val="10/17/2020 20:01:27"/>
            <filter val="10/14/2020 7:58:50"/>
            <filter val="11/2/2020 7:43:07"/>
            <filter val="10/2/2020 19:36:19"/>
            <filter val="10/16/2020 19:55:05"/>
            <filter val="10/8/2020 19:58:12"/>
            <filter val="10/9/2020 7:19:12"/>
            <filter val="10/17/2020 19:41:45"/>
            <filter val="10/3/2020 19:22:58"/>
            <filter val="10/27/2020 7:42:38"/>
            <filter val="10/20/2020 8:07:48"/>
            <filter val="10/16/2020 19:43:27"/>
            <filter val="10/21/2020 20:01:43"/>
            <filter val="10/14/2020 20:00:00"/>
            <filter val="10/28/2020 7:54:51"/>
            <filter val="10/28/2020 19:45:36"/>
            <filter val="10/7/2020 7:46:43"/>
            <filter val="10/15/2020 19:21:27"/>
            <filter val="10/31/2020 16:59:56"/>
            <filter val="10/25/2020 20:04:07"/>
            <filter val="10/5/2020 7:56:30"/>
            <filter val="10/4/2020 7:56:51"/>
            <filter val="10/9/2020 19:44:29"/>
            <filter val="10/16/2020 20:13:30"/>
            <filter val="10/1/2020 19:24:33"/>
            <filter val="10/15/2020 7:20:29"/>
            <filter val="10/28/2020 7:32:39"/>
            <filter val="10/26/2020 19:47:03"/>
            <filter val="10/21/2020 7:44:41"/>
            <filter val="10/11/2020 7:32:50"/>
            <filter val="10/4/2020 7:56:54"/>
            <filter val="10/6/2020 6:35:24"/>
            <filter val="10/5/2020 7:44:48"/>
            <filter val="10/3/2020 19:04:43"/>
            <filter val="10/9/2020 19:32:47"/>
            <filter val="10/4/2020 7:46:05"/>
            <filter val="10/22/2020 7:46:08"/>
            <filter val="10/13/2020 19:35:21"/>
            <filter val="10/20/2020 19:38:07"/>
            <filter val="10/4/2020 7:46:06"/>
            <filter val="10/21/2020 7:54:54"/>
            <filter val="10/18/2020 19:53:12"/>
            <filter val="10/24/2020 8:04:11"/>
            <filter val="10/19/2020 8:02:42"/>
            <filter val="10/27/2020 19:35:38"/>
            <filter val="10/7/2020 6:47:31"/>
            <filter val="11/2/2020 7:53:39"/>
            <filter val="10/16/2020 19:53:37"/>
            <filter val="10/10/2020 19:13:43"/>
            <filter val="10/15/2020 7:42:22"/>
            <filter val="10/14/2020 7:40:41"/>
            <filter val="10/9/2020 9:04:44"/>
            <filter val="10/7/2020 8:04:54"/>
            <filter val="10/11/2020 19:35:36"/>
            <filter val="10/22/2020 7:46:14"/>
            <filter val="10/17/2020 19:43:06"/>
            <filter val="10/21/2020 9:12:41"/>
            <filter val="10/9/2020 19:44:34"/>
            <filter val="10/6/2020 7:58:05"/>
            <filter val="10/9/2020 19:32:57"/>
            <filter val="10/1/2020 19:46:54"/>
            <filter val="10/2/2020 8:32:06"/>
            <filter val="10/18/2020 7:32:32"/>
            <filter val="10/5/2020 7:44:40"/>
            <filter val="10/1/2020 20:03:48"/>
            <filter val="10/5/2020 8:44:26"/>
            <filter val="10/24/2020 19:22:28"/>
            <filter val="10/17/2020 7:56:23"/>
            <filter val="10/14/2020 7:30:02"/>
            <filter val="10/5/2020 7:56:15"/>
            <filter val="10/31/2020 16:59:32"/>
            <filter val="10/5/2020 7:56:17"/>
            <filter val="10/5/2020 7:56:18"/>
            <filter val="10/14/2020 20:00:20"/>
            <filter val="10/5/2020 8:32:55"/>
            <filter val="10/20/2020 7:32:12"/>
            <filter val="10/8/2020 7:48:49"/>
            <filter val="10/5/2020 7:34:09"/>
            <filter val="10/18/2020 7:46:15"/>
            <filter val="10/4/2020 7:54:52"/>
            <filter val="10/25/2020 19:35:31"/>
            <filter val="10/16/2020 7:30:28"/>
            <filter val="10/26/2020 7:19:49"/>
            <filter val="10/2/2020 19:48:30"/>
            <filter val="10/15/2020 19:33:36"/>
            <filter val="10/6/2020 6:37:23"/>
            <filter val="10/7/2020 6:50:18"/>
            <filter val="10/9/2020 7:17:48"/>
            <filter val="10/12/2020 18:12:28"/>
            <filter val="10/29/2020 19:45:34"/>
            <filter val="10/15/2020 10:47:53"/>
            <filter val="10/6/2020 7:48:13"/>
            <filter val="10/1/2020 20:03:54"/>
            <filter val="10/12/2020 7:46:52"/>
            <filter val="10/1/2020 20:03:55"/>
            <filter val="10/22/2020 7:34:43"/>
            <filter val="10/1/2020 20:03:56"/>
            <filter val="10/25/2020 19:56:12"/>
            <filter val="10/15/2020 19:45:22"/>
            <filter val="10/15/2020 7:29:15"/>
            <filter val="10/23/2020 4:51:05"/>
            <filter val="10/22/2020 19:58:44"/>
            <filter val="10/26/2020 7:20:33"/>
            <filter val="10/7/2020 17:13:31"/>
            <filter val="10/9/2020 20:47:21"/>
            <filter val="10/23/2020 7:27:17"/>
            <filter val="10/23/2020 18:35:52"/>
            <filter val="10/16/2020 20:13:00"/>
            <filter val="10/8/2020 19:56:33"/>
            <filter val="10/5/2020 8:46:30"/>
            <filter val="10/6/2020 19:58:38"/>
            <filter val="10/17/2020 19:43:23"/>
            <filter val="10/22/2020 19:36:28"/>
            <filter val="10/22/2020 19:46:57"/>
            <filter val="10/11/2020 19:23:49"/>
            <filter val="10/25/2020 19:47:08"/>
            <filter val="10/18/2020 5:23:06"/>
            <filter val="10/5/2020 7:46:43"/>
            <filter val="10/2/2020 19:48:39"/>
            <filter val="10/25/2020 19:56:28"/>
            <filter val="10/21/2020 7:34:13"/>
            <filter val="10/11/2020 19:23:40"/>
            <filter val="10/6/2020 3:36:57"/>
            <filter val="10/15/2020 7:30:29"/>
            <filter val="10/5/2020 8:34:51"/>
            <filter val="10/8/2020 19:12:27"/>
            <filter val="10/18/2020 19:19:59"/>
            <filter val="10/18/2020 19:20:46"/>
            <filter val="10/15/2020 19:55:49"/>
            <filter val="10/21/2020 8:56:40"/>
            <filter val="10/9/2020 20:02:41"/>
            <filter val="10/27/2020 19:57:17"/>
            <filter val="10/21/2020 7:34:40"/>
            <filter val="10/2/2020 7:30:28"/>
            <filter val="10/20/2020 7:00:02"/>
            <filter val="10/18/2020 7:34:08"/>
            <filter val="11/2/2020 7:31:44"/>
            <filter val="10/26/2020 19:57:13"/>
            <filter val="10/3/2020 7:19:52"/>
            <filter val="10/21/2020 7:34:46"/>
            <filter val="10/15/2020 10:47:31"/>
            <filter val="10/26/2020 7:30:52"/>
            <filter val="10/18/2020 7:56:36"/>
            <filter val="10/21/2020 7:34:45"/>
            <filter val="10/21/2020 7:34:44"/>
            <filter val="10/1/2020 19:48:39"/>
            <filter val="10/21/2020 7:34:42"/>
            <filter val="10/22/2020 7:36:02"/>
            <filter val="10/19/2020 19:32:09"/>
            <filter val="10/21/2020 19:46:39"/>
            <filter val="10/25/2020 7:40:42"/>
            <filter val="10/13/2020 7:48:31"/>
            <filter val="10/29/2020 7:34:34"/>
            <filter val="10/7/2020 7:26:20"/>
            <filter val="10/8/2020 19:56:54"/>
            <filter val="10/5/2020 7:34:53"/>
            <filter val="10/8/2020 19:56:53"/>
            <filter val="10/20/2020 7:44:33"/>
            <filter val="10/11/2020 19:33:56"/>
            <filter val="10/21/2020 19:24:33"/>
            <filter val="10/4/2020 19:46:57"/>
            <filter val="10/14/2020 7:40:04"/>
            <filter val="10/10/2020 19:57:11"/>
            <filter val="10/13/2020 19:11:21"/>
            <filter val="10/9/2020 19:34:38"/>
            <filter val="10/7/2020 6:50:08"/>
            <filter val="10/23/2020 19:46:24"/>
            <filter val="10/1/2020 19:48:34"/>
            <filter val="10/24/2020 7:50:34"/>
            <filter val="10/27/2020 19:33:41"/>
            <filter val="10/20/2020 7:32:58"/>
            <filter val="10/8/2020 8:28:09"/>
            <filter val="10/23/2020 19:46:29"/>
            <filter val="10/21/2020 7:34:36"/>
            <filter val="10/7/2020 7:26:35"/>
            <filter val="10/21/2020 7:34:35"/>
            <filter val="10/9/2020 7:52:20"/>
            <filter val="10/21/2020 7:34:33"/>
            <filter val="10/14/2020 19:55:43"/>
            <filter val="10/20/2020 18:13:55"/>
            <filter val="10/8/2020 21:03:15"/>
            <filter val="10/16/2020 19:43:47"/>
            <filter val="10/27/2020 7:42:56"/>
            <filter val="10/4/2020 7:56:16"/>
            <filter val="10/22/2020 7:46:52"/>
            <filter val="10/26/2020 7:20:05"/>
            <filter val="10/2/2020 19:36:41"/>
            <filter val="10/9/2020 19:46:18"/>
            <filter val="10/15/2020 7:30:09"/>
            <filter val="10/27/2020 18:01:15"/>
            <filter val="10/15/2020 19:55:30"/>
            <filter val="10/8/2020 19:46:28"/>
            <filter val="10/14/2020 20:02:02"/>
            <filter val="10/9/2020 19:56:53"/>
            <filter val="10/9/2020 7:40:49"/>
            <filter val="10/5/2020 22:58:56"/>
            <filter val="10/18/2020 19:55:04"/>
            <filter val="10/25/2020 8:42:55"/>
            <filter val="10/9/2020 19:36:23"/>
            <filter val="10/15/2020 19:35:13"/>
            <filter val="10/13/2020 19:13:55"/>
            <filter val="10/14/2020 19:58:49"/>
            <filter val="10/29/2020 7:41:30"/>
            <filter val="10/16/2020 20:12:02"/>
            <filter val="10/15/2020 15:50:43"/>
            <filter val="10/23/2020 19:47:46"/>
            <filter val="10/29/2020 20:18:28"/>
            <filter val="10/19/2020 19:42:27"/>
            <filter val="10/29/2020 8:11:24"/>
            <filter val="10/9/2020 7:51:44"/>
            <filter val="10/3/2020 19:55:08"/>
            <filter val="10/28/2020 19:43:04"/>
            <filter val="10/29/2020 19:42:00"/>
            <filter val="10/15/2020 7:50:50"/>
            <filter val="10/14/2020 19:58:44"/>
            <filter val="10/27/2020 19:32:25"/>
            <filter val="10/14/2020 7:26:48"/>
            <filter val="10/16/2020 20:10:54"/>
            <filter val="10/21/2020 8:52:20"/>
            <filter val="10/2/2020 19:56:04"/>
            <filter val="10/7/2020 7:27:12"/>
            <filter val="10/6/2020 7:48:51"/>
            <filter val="10/4/2020 7:36:16"/>
            <filter val="10/9/2020 20:49:02"/>
            <filter val="10/25/2020 8:44:01"/>
            <filter val="10/6/2020 3:31:10"/>
            <filter val="10/17/2020 19:45:06"/>
            <filter val="10/20/2020 7:34:50"/>
            <filter val="10/1/2020 20:12:13"/>
            <filter val="10/14/2020 7:38:27"/>
            <filter val="10/26/2020 7:15:33"/>
            <filter val="10/26/2020 18:38:57"/>
            <filter val="10/4/2020 7:48:17"/>
            <filter val="10/2/2020 19:09:34"/>
            <filter val="10/8/2020 7:51:34"/>
            <filter val="10/4/2020 7:48:27"/>
            <filter val="10/2/2020 7:22:49"/>
            <filter val="10/1/2020 20:00:38"/>
            <filter val="10/1/2020 19:57:30"/>
            <filter val="10/21/2020 9:00:07"/>
            <filter val="10/6/2020 19:50:49"/>
            <filter val="10/14/2020 7:26:27"/>
            <filter val="10/22/2020 7:36:41"/>
            <filter val="10/25/2020 19:44:46"/>
            <filter val="10/8/2020 19:37:09"/>
            <filter val="10/27/2020 7:51:18"/>
            <filter val="10/23/2020 19:47:24"/>
            <filter val="10/27/2020 19:56:00"/>
            <filter val="10/5/2020 7:47:43"/>
            <filter val="10/26/2020 7:37:48"/>
            <filter val="10/25/2020 19:44:41"/>
            <filter val="10/23/2020 7:24:31"/>
            <filter val="10/5/2020 7:35:49"/>
            <filter val="10/14/2020 19:24:01"/>
            <filter val="10/21/2020 7:47:28"/>
            <filter val="10/8/2020 19:35:56"/>
            <filter val="10/8/2020 19:35:54"/>
            <filter val="10/21/2020 10:30:12"/>
            <filter val="10/8/2020 19:35:52"/>
            <filter val="10/9/2020 7:16:41"/>
            <filter val="10/9/2020 8:44:29"/>
            <filter val="10/2/2020 7:34:39"/>
            <filter val="10/17/2020 19:45:29"/>
            <filter val="10/2/2020 7:24:11"/>
            <filter val="10/13/2020 19:50:02"/>
            <filter val="10/2/2020 19:44:17"/>
            <filter val="10/13/2020 19:37:31"/>
            <filter val="10/16/2020 19:22:40"/>
            <filter val="10/3/2020 7:47:28"/>
            <filter val="10/18/2020 19:08:12"/>
            <filter val="10/14/2020 20:03:18"/>
            <filter val="10/27/2020 18:15:56"/>
            <filter val="10/3/2020 5:59:29"/>
            <filter val="10/13/2020 16:10:50"/>
            <filter val="10/8/2020 19:03:10"/>
            <filter val="10/31/2020 19:49:42"/>
            <filter val="10/5/2020 8:30:30"/>
            <filter val="10/24/2020 7:47:39"/>
            <filter val="10/11/2020 19:15:14"/>
            <filter val="10/28/2020 18:04:23"/>
            <filter val="10/22/2020 7:48:48"/>
            <filter val="10/20/2020 7:02:02"/>
            <filter val="10/17/2020 19:45:36"/>
            <filter val="10/25/2020 19:44:26"/>
            <filter val="10/9/2020 20:49:32"/>
            <filter val="10/27/2020 19:54:00"/>
            <filter val="10/24/2020 19:21:55"/>
            <filter val="10/24/2020 7:59:12"/>
            <filter val="10/12/2020 7:50:45"/>
            <filter val="10/3/2020 7:45:40"/>
            <filter val="10/2/2020 19:46:07"/>
            <filter val="10/17/2020 8:01:11"/>
            <filter val="10/29/2020 20:04:50"/>
            <filter val="10/29/2020 8:08:55"/>
            <filter val="10/27/2020 19:29:46"/>
            <filter val="10/27/2020 8:00:11"/>
            <filter val="10/5/2020 8:32:20"/>
            <filter val="10/13/2020 16:10:23"/>
            <filter val="10/17/2020 19:57:23"/>
            <filter val="10/1/2020 19:55:46"/>
            <filter val="10/8/2020 19:59:27"/>
            <filter val="10/15/2020 14:56:07"/>
            <filter val="10/16/2020 19:58:38"/>
            <filter val="10/1/2020 19:47:02"/>
            <filter val="10/17/2020 19:45:48"/>
            <filter val="10/19/2020 19:40:56"/>
            <filter val="10/27/2020 19:52:54"/>
            <filter val="10/17/2020 8:01:07"/>
            <filter val="10/27/2020 19:30:44"/>
            <filter val="10/9/2020 8:09:09"/>
            <filter val="10/14/2020 7:36:43"/>
            <filter val="10/13/2020 19:13:20"/>
            <filter val="10/6/2020 7:38:31"/>
            <filter val="10/2/2020 19:46:24"/>
            <filter val="10/4/2020 7:46:39"/>
            <filter val="10/27/2020 7:41:26"/>
            <filter val="10/1/2020 19:55:52"/>
            <filter val="10/18/2020 19:56:32"/>
            <filter val="10/12/2020 7:37:58"/>
            <filter val="10/1/2020 19:55:55"/>
            <filter val="10/21/2020 7:50:04"/>
            <filter val="10/1/2020 19:55:56"/>
            <filter val="10/14/2020 20:03:36"/>
            <filter val="10/1/2020 19:55:53"/>
            <filter val="10/1/2020 19:55:59"/>
            <filter val="10/16/2020 15:48:34"/>
            <filter val="10/22/2020 18:55:25"/>
            <filter val="10/1/2020 19:55:57"/>
            <filter val="10/28/2020 19:53:28"/>
            <filter val="10/21/2020 7:49:15"/>
            <filter val="10/29/2020 18:13:46"/>
            <filter val="10/5/2020 7:37:31"/>
            <filter val="10/24/2020 19:48:39"/>
            <filter val="10/18/2020 19:06:25"/>
            <filter val="10/11/2020 19:54:07"/>
            <filter val="10/5/2020 7:50:02"/>
            <filter val="10/1/2020 19:23:18"/>
            <filter val="10/10/2020 19:43:12"/>
            <filter val="10/22/2020 7:38:28"/>
            <filter val="10/13/2020 7:51:56"/>
            <filter val="11/2/2020 7:58:09"/>
            <filter val="10/15/2020 7:27:16"/>
            <filter val="10/8/2020 19:37:51"/>
            <filter val="10/28/2020 19:41:41"/>
            <filter val="10/23/2020 7:22:52"/>
            <filter val="10/8/2020 19:37:50"/>
            <filter val="10/4/2020 7:58:27"/>
            <filter val="10/22/2020 5:06:08"/>
            <filter val="10/18/2020 19:56:47"/>
            <filter val="10/26/2020 6:01:08"/>
            <filter val="10/28/2020 7:52:57"/>
            <filter val="10/9/2020 19:36:52"/>
            <filter val="10/25/2020 19:42:56"/>
            <filter val="10/17/2020 19:47:09"/>
            <filter val="10/3/2020 19:06:12"/>
            <filter val="10/15/2020 12:10:40"/>
            <filter val="10/23/2020 19:49:15"/>
            <filter val="10/17/2020 19:47:05"/>
            <filter val="10/23/2020 7:12:20"/>
            <filter val="10/2/2020 19:44:59"/>
            <filter val="10/2/2020 19:46:00"/>
            <filter val="10/27/2020 18:15:15"/>
            <filter val="10/12/2020 19:36:31"/>
            <filter val="10/29/2020 7:43:29"/>
            <filter val="10/14/2020 19:58:35"/>
            <filter val="10/6/2020 7:28:14"/>
            <filter val="10/13/2020 7:51:47"/>
            <filter val="10/15/2020 19:35:44"/>
            <filter val="10/16/2020 19:46:37"/>
            <filter val="10/28/2020 7:30:43"/>
            <filter val="10/12/2020 7:50:39"/>
            <filter val="10/8/2020 19:59:51"/>
            <filter val="10/21/2020 7:49:00"/>
            <filter val="10/6/2020 19:27:22"/>
            <filter val="10/25/2020 7:46:43"/>
            <filter val="10/23/2020 19:39:19"/>
            <filter val="10/17/2020 19:47:19"/>
            <filter val="10/4/2020 7:38:43"/>
            <filter val="10/16/2020 19:48:20"/>
            <filter val="10/24/2020 19:21:16"/>
            <filter val="10/8/2020 19:39:49"/>
            <filter val="10/4/2020 7:51:17"/>
            <filter val="10/14/2020 7:36:19"/>
            <filter val="10/23/2020 7:34:23"/>
            <filter val="10/23/2020 7:10:59"/>
            <filter val="10/8/2020 8:23:43"/>
            <filter val="10/11/2020 19:30:56"/>
            <filter val="10/15/2020 7:47:43"/>
            <filter val="10/19/2020 18:40:30"/>
            <filter val="10/2/2020 7:38:14"/>
            <filter val="10/27/2020 8:02:09"/>
            <filter val="10/7/2020 19:28:56"/>
            <filter val="10/13/2020 8:33:42"/>
            <filter val="10/22/2020 19:51:49"/>
            <filter val="10/27/2020 19:52:15"/>
            <filter val="10/1/2020 19:55:07"/>
            <filter val="10/21/2020 7:27:16"/>
            <filter val="10/5/2020 22:42:20"/>
            <filter val="10/19/2020 18:39:33"/>
            <filter val="10/5/2020 7:29:06"/>
            <filter val="10/9/2020 20:09:50"/>
            <filter val="10/10/2020 19:48:59"/>
            <filter val="10/23/2020 7:34:18"/>
            <filter val="10/7/2020 7:00:45"/>
            <filter val="10/26/2020 18:43:06"/>
            <filter val="10/15/2020 7:25:03"/>
            <filter val="10/17/2020 9:13:06"/>
            <filter val="10/12/2020 19:41:41"/>
            <filter val="10/18/2020 19:58:15"/>
            <filter val="10/26/2020 19:18:42"/>
            <filter val="10/9/2020 8:14:07"/>
            <filter val="10/25/2020 19:42:23"/>
            <filter val="10/20/2020 7:36:41"/>
            <filter val="10/14/2020 7:46:38"/>
            <filter val="10/8/2020 19:52:45"/>
            <filter val="10/3/2020 7:27:34"/>
            <filter val="10/23/2020 19:17:09"/>
            <filter val="10/6/2020 7:51:41"/>
            <filter val="10/28/2020 7:47:58"/>
            <filter val="10/15/2020 12:39:33"/>
            <filter val="10/15/2020 19:15:26"/>
            <filter val="10/5/2020 7:27:38"/>
            <filter val="10/28/2020 19:41:04"/>
            <filter val="10/17/2020 8:13:28"/>
            <filter val="10/15/2020 7:25:37"/>
            <filter val="10/26/2020 7:23:48"/>
            <filter val="10/14/2020 20:05:23"/>
            <filter val="10/21/2020 7:49:47"/>
            <filter val="10/5/2020 7:39:24"/>
            <filter val="10/14/2020 7:34:43"/>
            <filter val="10/4/2020 7:41:01"/>
            <filter val="10/16/2020 19:48:10"/>
            <filter val="10/15/2020 7:35:53"/>
            <filter val="10/28/2020 19:38:18"/>
            <filter val="10/8/2020 19:17:01"/>
            <filter val="10/3/2020 20:00:45"/>
            <filter val="10/14/2020 7:54:31"/>
            <filter val="10/9/2020 19:51:09"/>
            <filter val="10/7/2020 8:00:09"/>
            <filter val="10/11/2020 19:29:48"/>
            <filter val="10/1/2020 20:09:28"/>
            <filter val="10/19/2020 19:50:22"/>
            <filter val="10/6/2020 7:28:55"/>
            <filter val="10/16/2020 19:36:40"/>
            <filter val="10/21/2020 7:50:29"/>
            <filter val="10/6/2020 19:29:26"/>
            <filter val="10/22/2020 19:53:34"/>
            <filter val="10/15/2020 19:50:59"/>
            <filter val="10/2/2020 7:24:44"/>
            <filter val="10/5/2020 7:52:52"/>
            <filter val="10/3/2020 19:41:44"/>
            <filter val="10/9/2020 7:58:38"/>
            <filter val="10/29/2020 19:52:06"/>
            <filter val="10/27/2020 0:18:49"/>
            <filter val="10/9/2020 19:28:37"/>
            <filter val="10/13/2020 7:53:55"/>
            <filter val="10/27/2020 7:38:16"/>
            <filter val="10/25/2020 8:32:54"/>
            <filter val="10/8/2020 19:42:10"/>
            <filter val="10/28/2020 7:40:01"/>
            <filter val="10/15/2020 17:49:32"/>
            <filter val="10/2/2020 19:54:27"/>
            <filter val="10/14/2020 20:05:48"/>
            <filter val="10/8/2020 7:43:42"/>
            <filter val="10/18/2020 19:58:47"/>
            <filter val="10/24/2020 7:45:15"/>
            <filter val="10/9/2020 19:41:19"/>
            <filter val="10/24/2020 7:45:22"/>
            <filter val="10/11/2020 7:41:36"/>
            <filter val="10/28/2020 7:27:14"/>
            <filter val="10/6/2020 7:43:07"/>
            <filter val="10/20/2020 8:14:59"/>
            <filter val="10/17/2020 8:15:36"/>
            <filter val="10/1/2020 19:31:58"/>
            <filter val="10/7/2020 6:32:20"/>
            <filter val="10/5/2020 21:42:31"/>
            <filter val="10/5/2020 8:40:49"/>
            <filter val="10/5/2020 7:29:49"/>
            <filter val="10/11/2020 7:41:31"/>
            <filter val="10/8/2020 7:55:35"/>
            <filter val="10/23/2020 19:40:33"/>
            <filter val="10/26/2020 18:53:03"/>
            <filter val="10/3/2020 7:47:58"/>
            <filter val="10/27/2020 19:39:07"/>
            <filter val="10/7/2020 7:00:00"/>
            <filter val="10/7/2020 6:56:15"/>
            <filter val="10/23/2020 7:32:32"/>
            <filter val="10/1/2020 20:22:00"/>
            <filter val="10/12/2020 7:54:11"/>
            <filter val="10/14/2020 7:34:27"/>
            <filter val="10/16/2020 19:51:03"/>
            <filter val="10/1/2020 19:43:38"/>
            <filter val="10/29/2020 8:06:46"/>
            <filter val="10/14/2020 19:28:23"/>
            <filter val="10/2/2020 19:54:34"/>
            <filter val="10/10/2020 7:39:25"/>
            <filter val="10/15/2020 7:45:48"/>
            <filter val="10/26/2020 19:18:00"/>
            <filter val="10/24/2020 7:43:50"/>
            <filter val="10/27/2020 7:48:44"/>
            <filter val="10/15/2020 7:23:58"/>
            <filter val="10/15/2020 15:39:32"/>
            <filter val="10/6/2020 7:53:21"/>
            <filter val="10/5/2020 7:40:44"/>
            <filter val="10/14/2020 19:16:30"/>
            <filter val="10/8/2020 19:52:02"/>
            <filter val="10/8/2020 8:21:37"/>
            <filter val="10/26/2020 18:51:57"/>
            <filter val="10/3/2020 7:25:55"/>
            <filter val="10/29/2020 7:41:10"/>
            <filter val="10/2/2020 19:09:00"/>
            <filter val="10/17/2020 19:49:13"/>
            <filter val="10/17/2020 7:59:49"/>
            <filter val="10/25/2020 8:34:16"/>
            <filter val="10/17/2020 19:49:10"/>
            <filter val="10/17/2020 19:50:15"/>
            <filter val="10/5/2020 7:40:51"/>
            <filter val="10/8/2020 19:40:51"/>
            <filter val="10/17/2020 7:27:12"/>
            <filter val="10/4/2020 7:38:57"/>
            <filter val="10/5/2020 7:52:21"/>
            <filter val="10/21/2020 7:29:17"/>
            <filter val="10/2/2020 7:24:55"/>
            <filter val="10/21/2020 19:19:04"/>
            <filter val="10/25/2020 19:39:40"/>
            <filter val="10/23/2020 19:40:57"/>
            <filter val="10/3/2020 19:08:35"/>
            <filter val="10/28/2020 19:38:57"/>
            <filter val="10/21/2020 9:17:19"/>
            <filter val="10/6/2020 19:52:32"/>
            <filter val="10/16/2020 7:36:26"/>
            <filter val="10/12/2020 7:52:55"/>
            <filter val="10/13/2020 19:40:09"/>
            <filter val="10/28/2020 19:38:53"/>
            <filter val="10/14/2020 7:34:03"/>
            <filter val="10/16/2020 19:48:57"/>
            <filter val="10/9/2020 19:51:43"/>
            <filter val="10/17/2020 7:59:58"/>
            <filter val="10/9/2020 7:46:25"/>
            <filter val="10/15/2020 7:45:51"/>
            <filter val="10/6/2020 3:33:03"/>
            <filter val="10/14/2020 7:44:44"/>
            <filter val="10/29/2020 20:06:49"/>
            <filter val="10/8/2020 18:52:30"/>
            <filter val="10/24/2020 7:43:30"/>
            <filter val="10/15/2020 19:52:32"/>
            <filter val="10/26/2020 6:04:55"/>
            <filter val="10/7/2020 19:33:15"/>
            <filter val="10/25/2020 7:43:54"/>
            <filter val="10/9/2020 19:41:57"/>
            <filter val="10/4/2020 7:53:40"/>
            <filter val="10/27/2020 19:26:14"/>
            <filter val="10/1/2020 19:52:06"/>
            <filter val="10/6/2020 7:31:56"/>
            <filter val="10/18/2020 5:26:27"/>
            <filter val="10/26/2020 7:33:27"/>
            <filter val="10/6/2020 8:01:56"/>
            <filter val="10/7/2020 7:55:47"/>
            <filter val="10/14/2020 19:30:30"/>
            <filter val="10/20/2020 19:33:57"/>
            <filter val="10/6/2020 19:57:11"/>
            <filter val="10/9/2020 7:57:29"/>
            <filter val="10/2/2020 18:45:30"/>
            <filter val="10/23/2020 7:31:31"/>
            <filter val="10/10/2020 19:46:26"/>
            <filter val="10/14/2020 7:55:58"/>
            <filter val="10/12/2020 7:55:14"/>
            <filter val="10/16/2020 19:52:05"/>
            <filter val="10/6/2020 3:35:56"/>
            <filter val="10/16/2020 19:52:03"/>
            <filter val="10/16/2020 19:52:01"/>
            <filter val="10/16/2020 19:52:00"/>
            <filter val="10/13/2020 7:43:41"/>
            <filter val="10/15/2020 7:45:24"/>
            <filter val="10/15/2020 19:52:20"/>
            <filter val="10/4/2020 7:53:50"/>
            <filter val="10/22/2020 19:55:05"/>
            <filter val="10/7/2020 7:55:34"/>
            <filter val="10/8/2020 21:02:18"/>
            <filter val="10/5/2020 7:53:52"/>
            <filter val="10/20/2020 7:41:26"/>
            <filter val="10/7/2020 8:03:28"/>
            <filter val="10/17/2020 19:49:46"/>
            <filter val="10/25/2020 7:55:27"/>
            <filter val="10/6/2020 7:55:30"/>
            <filter val="10/25/2020 19:51:56"/>
            <filter val="10/23/2020 19:43:13"/>
            <filter val="10/7/2020 6:28:01"/>
            <filter val="10/27/2020 8:03:51"/>
            <filter val="10/11/2020 7:31:38"/>
            <filter val="10/22/2020 7:53:33"/>
            <filter val="10/1/2020 19:40:08"/>
            <filter val="10/15/2020 7:21:40"/>
            <filter val="10/6/2020 19:45:13"/>
            <filter val="10/22/2020 5:09:24"/>
            <filter val="10/10/2020 19:58:07"/>
            <filter val="10/2/2020 18:55:54"/>
            <filter val="11/2/2020 7:40:06"/>
            <filter val="10/6/2020 6:38:19"/>
            <filter val="10/16/2020 19:49:50"/>
            <filter val="10/10/2020 7:41:23"/>
            <filter val="10/23/2020 19:41:42"/>
            <filter val="10/15/2020 20:06:09"/>
            <filter val="10/18/2020 7:57:44"/>
            <filter val="10/23/2020 19:41:47"/>
            <filter val="10/5/2020 19:33:59"/>
            <filter val="10/26/2020 19:16:29"/>
            <filter val="10/6/2020 19:45:46"/>
            <filter val="10/16/2020 19:29:08"/>
            <filter val="10/8/2020 19:43:09"/>
            <filter val="10/23/2020 19:18:55"/>
            <filter val="10/5/2020 8:35:34"/>
            <filter val="10/24/2020 19:53:37"/>
            <filter val="10/5/2020 8:35:39"/>
            <filter val="10/28/2020 7:45:40"/>
            <filter val="10/15/2020 19:29:01"/>
            <filter val="10/5/2020 21:41:40"/>
            <filter val="10/14/2020 19:54:32"/>
            <filter val="10/20/2020 7:41:06"/>
            <filter val="10/16/2020 15:56:09"/>
            <filter val="10/21/2020 20:00:18"/>
            <filter val="10/16/2020 7:35:16"/>
            <filter val="10/20/2020 19:35:09"/>
            <filter val="10/17/2020 7:59:12"/>
            <filter val="10/13/2020 7:55:44"/>
            <filter val="10/26/2020 7:31:53"/>
            <filter val="10/25/2020 7:55:42"/>
            <filter val="10/17/2020 7:59:13"/>
            <filter val="10/16/2020 19:39:36"/>
            <filter val="10/16/2020 19:40:15"/>
            <filter val="10/23/2020 4:52:06"/>
            <filter val="10/19/2020 8:05:25"/>
            <filter val="10/15/2020 19:54:14"/>
            <filter val="10/2/2020 7:38:49"/>
            <filter val="10/11/2020 19:32:32"/>
            <filter val="10/23/2020 19:43:42"/>
            <filter val="10/20/2020 19:33:12"/>
            <filter val="10/17/2020 7:57:08"/>
            <filter val="10/17/2020 20:02:40"/>
            <filter val="10/29/2020 7:47:58"/>
            <filter val="10/28/2020 7:47:33"/>
            <filter val="10/6/2020 8:01:10"/>
            <filter val="10/24/2020 19:43:03"/>
            <filter val="10/5/2020 21:38:44"/>
            <filter val="10/3/2020 19:49:59"/>
            <filter val="10/13/2020 19:09:26"/>
            <filter val="10/6/2020 19:55:40"/>
            <filter val="10/3/2020 19:50:31"/>
            <filter val="10/22/2020 5:10:42"/>
            <filter val="10/27/2020 8:05:21"/>
            <filter val="10/1/2020 19:50:31"/>
            <filter val="10/22/2020 7:43:42"/>
            <filter val="10/8/2020 21:00:38"/>
            <filter val="10/16/2020 20:14:59"/>
            <filter val="10/5/2020 8:49:23"/>
            <filter val="10/5/2020 19:45:19"/>
            <filter val="10/1/2020 19:30:08"/>
            <filter val="10/1/2020 19:40:52"/>
            <filter val="10/29/2020 7:47:46"/>
            <filter val="10/28/2020 19:36:57"/>
            <filter val="10/7/2020 19:43:25"/>
            <filter val="10/20/2020 6:58:12"/>
            <filter val="10/14/2020 7:31:37"/>
            <filter val="10/24/2020 18:48:32"/>
            <filter val="10/3/2020 19:49:48"/>
            <filter val="10/13/2020 7:57:09"/>
            <filter val="10/26/2020 19:38:08"/>
            <filter val="10/9/2020 8:03:22"/>
            <filter val="10/26/2020 18:44:15"/>
            <filter val="10/6/2020 3:35:05"/>
            <filter val="10/16/2020 19:52:54"/>
            <filter val="10/6/2020 7:33:19"/>
            <filter val="10/21/2020 7:31:25"/>
            <filter val="10/14/2020 18:57:52"/>
            <filter val="10/4/2020 7:53:06"/>
            <filter val="10/8/2020 19:33:00"/>
            <filter val="10/9/2020 19:43:18"/>
            <filter val="10/26/2020 7:23:02"/>
            <filter val="11/2/2020 7:40:45"/>
            <filter val="10/5/2020 7:55:21"/>
            <filter val="10/15/2020 19:52:57"/>
            <filter val="10/26/2020 6:06:13"/>
            <filter val="10/26/2020 19:48:17"/>
            <filter val="10/13/2020 7:45:45"/>
            <filter val="10/22/2020 19:55:39"/>
            <filter val="10/23/2020 19:21:30"/>
            <filter val="10/21/2020 19:55:29"/>
            <filter val="10/4/2020 19:49:39"/>
            <filter val="10/9/2020 19:31:39"/>
            <filter val="10/17/2020 7:57:25"/>
            <filter val="10/17/2020 19:52:36"/>
            <filter val="10/4/2020 19:50:22"/>
            <filter val="10/7/2020 7:06:56"/>
            <filter val="10/1/2020 19:50:51"/>
            <filter val="10/14/2020 4:32:25"/>
            <filter val="10/15/2020 7:21:24"/>
            <filter val="10/27/2020 19:48:18"/>
            <filter val="10/16/2020 7:33:30"/>
            <filter val="10/25/2020 8:37:12"/>
            <filter val="10/25/2020 7:31:57"/>
            <filter val="10/17/2020 19:40:52"/>
            <filter val="10/22/2020 7:33:24"/>
            <filter val="10/21/2020 7:31:43"/>
            <filter val="10/1/2020 19:39:47"/>
            <filter val="10/27/2020 19:36:35"/>
            <filter val="10/12/2020 7:55:45"/>
            <filter val="10/18/2020 7:59:19"/>
            <filter val="10/6/2020 19:43:59"/>
            <filter val="10/16/2020 19:40:56"/>
            <filter val="10/9/2020 7:43:30"/>
            <filter val="10/27/2020 19:36:39"/>
            <filter val="10/26/2020 19:36:47"/>
            <filter val="10/13/2020 8:35:07"/>
            <filter val="10/1/2020 19:29:09"/>
            <filter val="10/10/2020 19:48:30"/>
            <filter val="10/1/2020 19:40:29"/>
            <filter val="10/12/2020 19:42:31"/>
            <filter val="10/13/2020 19:07:54"/>
            <filter val="10/28/2020 19:48:04"/>
            <filter val="10/27/2020 19:22:56"/>
            <filter val="10/7/2020 7:59:00"/>
            <filter val="10/15/2020 19:32:23"/>
            <filter val="10/15/2020 19:54:53"/>
            <filter val="10/17/2020 19:42:05"/>
            <filter val="10/5/2020 7:45:39"/>
            <filter val="10/29/2020 19:44:24"/>
            <filter val="10/27/2020 19:58:00"/>
            <filter val="10/18/2020 19:52:22"/>
            <filter val="10/16/2020 19:42:45"/>
            <filter val="10/5/2020 7:45:44"/>
            <filter val="10/18/2020 7:55:48"/>
            <filter val="10/1/2020 20:02:45"/>
            <filter val="10/8/2020 20:00:44"/>
            <filter val="10/10/2020 19:14:32"/>
            <filter val="10/21/2020 7:33:18"/>
            <filter val="10/8/2020 7:47:47"/>
            <filter val="10/22/2020 7:45:24"/>
            <filter val="10/15/2020 19:54:49"/>
            <filter val="10/23/2020 7:28:27"/>
            <filter val="10/9/2020 19:33:46"/>
            <filter val="10/6/2020 7:47:09"/>
            <filter val="10/3/2020 7:43:45"/>
            <filter val="10/16/2020 20:14:19"/>
            <filter val="10/13/2020 19:09:59"/>
            <filter val="10/22/2020 7:33:49"/>
            <filter val="10/25/2020 19:48:13"/>
            <filter val="10/25/2020 19:48:11"/>
            <filter val="10/18/2020 7:33:22"/>
            <filter val="10/22/2020 7:45:20"/>
            <filter val="10/21/2020 8:55:03"/>
            <filter val="10/11/2020 19:14:17"/>
            <filter val="10/2/2020 19:35:54"/>
            <filter val="10/8/2020 19:33:44"/>
            <filter val="10/25/2020 19:36:24"/>
            <filter val="10/25/2020 19:48:07"/>
            <filter val="10/19/2020 19:43:59"/>
            <filter val="10/1/2020 19:47:37"/>
            <filter val="10/13/2020 7:59:11"/>
            <filter val="10/25/2020 19:48:05"/>
            <filter val="10/29/2020 19:54:47"/>
            <filter val="10/10/2020 19:44:27"/>
            <filter val="10/25/2020 19:48:09"/>
            <filter val="10/1/2020 19:47:32"/>
            <filter val="10/22/2020 7:33:57"/>
            <filter val="10/20/2020 7:31:36"/>
            <filter val="10/21/2020 7:55:25"/>
            <filter val="10/10/2020 19:44:24"/>
            <filter val="10/25/2020 19:55:25"/>
            <filter val="10/25/2020 19:48:02"/>
            <filter val="10/25/2020 19:48:00"/>
            <filter val="10/26/2020 19:46:30"/>
            <filter val="10/26/2020 18:48:09"/>
            <filter val="10/16/2020 20:36:22"/>
            <filter val="10/17/2020 19:54:12"/>
            <filter val="10/14/2020 19:20:56"/>
            <filter val="10/28/2020 19:46:14"/>
            <filter val="10/5/2020 7:33:29"/>
            <filter val="10/15/2020 7:18:56"/>
            <filter val="10/4/2020 7:57:30"/>
            <filter val="10/21/2020 19:47:55"/>
            <filter val="10/23/2020 7:28:08"/>
            <filter val="10/22/2020 7:45:48"/>
            <filter val="10/11/2020 19:12:54"/>
            <filter val="10/26/2020 6:06:48"/>
            <filter val="10/1/2020 19:50:18"/>
            <filter val="10/27/2020 19:34:50"/>
            <filter val="10/26/2020 18:58:39"/>
            <filter val="10/2/2020 8:31:38"/>
            <filter val="10/23/2020 19:45:16"/>
            <filter val="10/14/2020 19:56:51"/>
            <filter val="10/12/2020 18:13:28"/>
            <filter val="10/26/2020 19:36:05"/>
            <filter val="10/13/2020 7:47:31"/>
            <filter val="10/21/2020 7:33:27"/>
            <filter val="10/6/2020 8:03:30"/>
            <filter val="10/8/2020 19:13:19"/>
            <filter val="10/4/2020 19:45:58"/>
            <filter val="10/14/2020 7:41:05"/>
            <filter val="10/14/2020 7:41:03"/>
            <filter val="10/4/2020 7:55:21"/>
            <filter val="10/6/2020 19:57:58"/>
            <filter val="10/9/2020 19:35:18"/>
            <filter val="10/11/2020 19:24:05"/>
            <filter val="10/11/2020 7:47:08"/>
            <filter val="10/23/2020 19:47:03"/>
            <filter val="10/7/2020 19:33:56"/>
            <filter val="10/16/2020 19:44:22"/>
            <filter val="10/26/2020 19:34:38"/>
            <filter val="10/3/2020 19:47:34"/>
            <filter val="10/14/2020 20:01:03"/>
            <filter val="10/20/2020 18:12:58"/>
            <filter val="10/31/2020 19:48:02"/>
            <filter val="10/27/2020 19:34:05"/>
            <filter val="10/4/2020 7:55:15"/>
            <filter val="10/8/2020 19:35:50"/>
            <filter val="10/8/2020 19:35:51"/>
            <filter val="10/17/2020 19:54:31"/>
            <filter val="10/4/2020 7:55:14"/>
            <filter val="10/20/2020 7:33:34"/>
            <filter val="10/4/2020 7:55:19"/>
            <filter val="10/15/2020 19:22:26"/>
            <filter val="10/4/2020 7:55:17"/>
            <filter val="10/21/2020 9:01:03"/>
            <filter val="10/10/2020 7:35:00"/>
            <filter val="10/4/2020 7:55:18"/>
            <filter val="10/1/2020 19:27:11"/>
            <filter val="10/7/2020 17:12:44"/>
            <filter val="10/22/2020 5:02:32"/>
            <filter val="10/5/2020 22:49:14"/>
            <filter val="10/2/2020 19:37:29"/>
            <filter val="10/26/2020 5:29:50"/>
            <filter val="10/16/2020 20:12:31"/>
            <filter val="10/4/2020 7:55:32"/>
            <filter val="10/3/2020 7:43:05"/>
            <filter val="10/18/2020 19:21:42"/>
            <filter val="10/9/2020 8:17:24"/>
            <filter val="10/23/2020 4:49:58"/>
            <filter val="10/12/2020 18:13:04"/>
            <filter val="10/3/2020 19:47:15"/>
            <filter val="10/13/2020 19:10:31"/>
            <filter val="10/1/2020 19:49:24"/>
            <filter val="10/29/2020 7:45:22"/>
            <filter val="10/14/2020 20:01:16"/>
            <filter val="10/8/2020 7:49:35"/>
            <filter val="10/13/2020 19:32:47"/>
            <filter val="10/15/2020 10:48:32"/>
            <filter val="10/5/2020 7:47:15"/>
            <filter val="10/4/2020 7:43:54"/>
            <filter val="10/14/2020 7:28:39"/>
            <filter val="10/1/2020 20:04:35"/>
            <filter val="10/25/2020 8:39:17"/>
            <filter val="10/28/2020 19:44:21"/>
            <filter val="10/14/2020 19:22:48"/>
            <filter val="10/25/2020 7:28:22"/>
            <filter val="10/11/2020 19:34:48"/>
            <filter val="10/10/2020 19:56:27"/>
            <filter val="10/9/2020 8:40:50"/>
            <filter val="10/29/2020 20:01:55"/>
            <filter val="10/8/2020 19:47:19"/>
            <filter val="10/25/2020 20:01:58"/>
            <filter val="10/4/2020 7:55:41"/>
            <filter val="10/6/2020 7:59:01"/>
            <filter val="10/22/2020 7:47:19"/>
            <filter val="10/29/2020 7:35:07"/>
            <filter val="10/2/2020 7:08:16"/>
            <filter val="10/25/2020 8:50:52"/>
            <filter val="10/14/2020 19:56:06"/>
            <filter val="10/24/2020 8:05:23"/>
            <filter val="10/18/2020 19:54:23"/>
            <filter val="10/16/2020 20:34:45"/>
            <filter val="10/21/2020 7:35:12"/>
            <filter val="10/3/2020 7:21:06"/>
            <filter val="10/9/2020 7:28:42"/>
            <filter val="10/5/2020 7:47:02"/>
            <filter val="10/29/2020 7:35:05"/>
            <filter val="10/13/2020 16:12:21"/>
            <filter val="10/25/2020 19:34:47"/>
            <filter val="10/7/2020 7:04:30"/>
            <filter val="10/28/2020 17:57:05"/>
            <filter val="10/29/2020 7:35:03"/>
            <filter val="10/5/2020 8:33:51"/>
            <filter val="10/1/2020 19:59:22"/>
            <filter val="10/29/2020 7:45:40"/>
            <filter val="10/21/2020 7:45:45"/>
            <filter val="10/29/2020 7:35:18"/>
            <filter val="10/12/2020 7:47:36"/>
            <filter val="10/26/2020 19:00:43"/>
            <filter val="10/14/2020 7:38:46"/>
            <filter val="10/8/2020 7:50:35"/>
            <filter val="10/15/2020 7:28:54"/>
            <filter val="10/10/2020 19:46:14"/>
            <filter val="10/22/2020 7:35:45"/>
            <filter val="10/6/2020 3:37:47"/>
            <filter val="10/29/2020 7:35:14"/>
            <filter val="10/7/2020 6:26:46"/>
            <filter val="10/1/2020 19:59:32"/>
            <filter val="10/29/2020 7:35:11"/>
            <filter val="10/7/2020 7:15:26"/>
            <filter val="10/5/2020 7:36:47"/>
            <filter val="10/5/2020 8:31:05"/>
            <filter val="10/26/2020 5:28:55"/>
            <filter val="10/26/2020 7:26:52"/>
            <filter val="10/8/2020 19:14:21"/>
            <filter val="10/28/2020 7:28:33"/>
            <filter val="10/25/2020 7:37:57"/>
            <filter val="10/3/2020 19:20:23"/>
            <filter val="10/10/2020 19:40:49"/>
            <filter val="10/22/2020 19:37:22"/>
            <filter val="10/14/2020 19:59:10"/>
            <filter val="10/5/2020 7:48:34"/>
            <filter val="10/10/2020 7:24:33"/>
            <filter val="10/14/2020 7:51:10"/>
            <filter val="10/25/2020 8:31:43"/>
            <filter val="10/5/2020 7:48:38"/>
            <filter val="10/14/2020 7:27:15"/>
            <filter val="10/6/2020 7:50:01"/>
            <filter val="10/10/2020 19:40:41"/>
            <filter val="10/21/2020 7:46:40"/>
            <filter val="10/25/2020 19:33:56"/>
            <filter val="10/15/2020 19:24:07"/>
            <filter val="10/6/2020 17:06:31"/>
            <filter val="10/20/2020 7:47:07"/>
            <filter val="10/26/2020 19:20:56"/>
            <filter val="10/17/2020 9:14:56"/>
            <filter val="10/29/2020 20:19:01"/>
            <filter val="10/18/2020 8:01:07"/>
            <filter val="10/15/2020 19:58:02"/>
            <filter val="10/20/2020 7:01:06"/>
            <filter val="10/23/2020 7:25:37"/>
            <filter val="10/9/2020 19:37:09"/>
            <filter val="10/8/2020 19:48:31"/>
            <filter val="10/12/2020 7:48:25"/>
            <filter val="10/25/2020 19:45:23"/>
            <filter val="10/28/2020 19:54:20"/>
            <filter val="10/26/2020 18:50:51"/>
            <filter val="10/18/2020 19:20:33"/>
            <filter val="10/25/2020 7:50:14"/>
            <filter val="10/14/2020 19:59:20"/>
            <filter val="10/27/2020 19:31:41"/>
            <filter val="10/29/2020 20:05:55"/>
            <filter val="10/12/2020 19:39:09"/>
            <filter val="10/13/2020 7:50:17"/>
            <filter val="10/28/2020 17:56:26"/>
            <filter val="10/16/2020 20:11:30"/>
            <filter val="10/31/2020 19:48:50"/>
            <filter val="10/7/2020 7:26:52"/>
            <filter val="10/13/2020 16:11:16"/>
            <filter val="10/5/2020 7:36:24"/>
            <filter val="10/16/2020 15:50:37"/>
            <filter val="10/16/2020 15:49:44"/>
            <filter val="10/15/2020 7:38:30"/>
            <filter val="10/1/2020 19:58:06"/>
            <filter val="10/7/2020 6:35:01"/>
            <filter val="10/3/2020 19:07:38"/>
            <filter val="10/22/2020 19:47:58"/>
            <filter val="10/25/2020 20:00:49"/>
            <filter val="10/9/2020 7:50:49"/>
            <filter val="10/5/2020 21:47:18"/>
            <filter val="10/16/2020 7:29:10"/>
            <filter val="10/16/2020 19:23:25"/>
            <filter val="10/6/2020 7:49:01"/>
            <filter val="10/15/2020 17:48:47"/>
            <filter val="10/7/2020 7:03:23"/>
            <filter val="10/7/2020 19:49:59"/>
            <filter val="10/28/2020 19:42:51"/>
            <filter val="10/15/2020 12:13:06"/>
            <filter val="10/1/2020 19:58:11"/>
            <filter val="10/4/2020 7:59:58"/>
            <filter val="10/20/2020 21:21:41"/>
            <filter val="10/2/2020 19:55:33"/>
            <filter val="10/29/2020 20:20:18"/>
            <filter val="10/14/2020 7:50:06"/>
            <filter val="10/15/2020 19:56:44"/>
            <filter val="10/25/2020 19:45:02"/>
            <filter val="10/7/2020 17:07:12"/>
            <filter val="10/29/2020 7:29:51"/>
            <filter val="10/29/2020 7:29:54"/>
            <filter val="10/20/2020 7:45:45"/>
            <filter val="10/3/2020 19:20:56"/>
            <filter val="10/15/2020 15:38:39"/>
            <filter val="10/13/2020 7:50:31"/>
            <filter val="10/24/2020 19:47:34"/>
            <filter val="10/9/2020 19:47:21"/>
            <filter val="10/25/2020 17:14:29"/>
            <filter val="10/15/2020 19:34:30"/>
            <filter val="10/16/2020 20:33:24"/>
            <filter val="10/1/2020 20:01:23"/>
            <filter val="10/15/2020 7:28:13"/>
            <filter val="10/26/2020 18:49:47"/>
            <filter val="10/13/2020 7:49:50"/>
            <filter val="10/6/2020 7:39:15"/>
            <filter val="10/22/2020 5:05:13"/>
            <filter val="10/14/2020 19:25:43"/>
            <filter val="10/13/2020 7:40:14"/>
            <filter val="10/9/2020 7:50:29"/>
            <filter val="10/26/2020 5:28:15"/>
            <filter val="10/22/2020 7:37:34"/>
            <filter val="10/17/2020 8:36:05"/>
            <filter val="10/9/2020 19:37:39"/>
            <filter val="10/3/2020 19:44:37"/>
            <filter val="10/14/2020 7:51:51"/>
            <filter val="10/1/2020 19:46:42"/>
            <filter val="10/27/2020 7:42:07"/>
            <filter val="10/5/2020 7:26:47"/>
            <filter val="10/29/2020 19:43:13"/>
            <filter val="10/18/2020 19:55:54"/>
            <filter val="10/16/2020 19:47:19"/>
            <filter val="10/14/2020 7:51:56"/>
            <filter val="10/21/2020 8:53:39"/>
            <filter val="10/18/2020 19:07:18"/>
            <filter val="10/10/2020 7:02:47"/>
            <filter val="10/14/2020 7:37:28"/>
            <filter val="10/4/2020 19:43:41"/>
            <filter val="10/2/2020 19:57:17"/>
            <filter val="10/16/2020 19:57:54"/>
            <filter val="10/7/2020 17:15:54"/>
            <filter val="10/6/2020 7:39:05"/>
            <filter val="10/29/2020 19:53:41"/>
            <filter val="10/22/2020 19:50:37"/>
            <filter val="10/29/2020 7:42:30"/>
            <filter val="10/8/2020 19:38:22"/>
            <filter val="10/21/2020 19:48:41"/>
            <filter val="10/19/2020 19:41:29"/>
            <filter val="10/3/2020 19:07:01"/>
            <filter val="10/10/2020 19:42:37"/>
            <filter val="10/17/2020 19:46:10"/>
            <filter val="10/10/2020 19:42:38"/>
            <filter val="10/9/2020 19:50:19"/>
            <filter val="10/1/2020 19:46:31"/>
            <filter val="10/25/2020 19:33:09"/>
            <filter val="10/6/2020 7:50:54"/>
            <filter val="10/14/2020 19:57:42"/>
            <filter val="10/1/2020 20:01:45"/>
            <filter val="10/12/2020 7:51:20"/>
            <filter val="10/8/2020 19:04:02"/>
            <filter val="10/3/2020 19:56:04"/>
            <filter val="10/11/2020 7:50:16"/>
            <filter val="10/14/2020 7:53:09"/>
            <filter val="10/4/2020 7:57:48"/>
            <filter val="10/22/2020 19:39:10"/>
            <filter val="10/6/2020 19:48:45"/>
            <filter val="10/4/2020 7:59:02"/>
            <filter val="10/6/2020 3:30:14"/>
            <filter val="10/22/2020 19:50:22"/>
            <filter val="10/9/2020 20:51:15"/>
            <filter val="10/22/2020 7:49:37"/>
            <filter val="10/22/2020 18:54:52"/>
            <filter val="10/23/2020 7:23:23"/>
            <filter val="10/2/2020 18:51:51"/>
            <filter val="10/14/2020 19:57:58"/>
            <filter val="10/25/2020 7:37:38"/>
            <filter val="10/3/2020 7:46:33"/>
            <filter val="10/14/2020 7:37:09"/>
            <filter val="10/6/2020 7:49:46"/>
            <filter val="10/9/2020 7:49:25"/>
            <filter val="10/28/2020 7:41:35"/>
            <filter val="10/9/2020 19:47:59"/>
            <filter val="10/15/2020 14:55:24"/>
            <filter val="10/26/2020 7:38:51"/>
            <filter val="10/18/2020 19:57:16"/>
            <filter val="10/25/2020 19:43:29"/>
            <filter val="10/9/2020 7:15:35"/>
            <filter val="10/11/2020 7:37:34"/>
            <filter val="10/5/2020 8:31:37"/>
            <filter val="10/20/2020 19:39:01"/>
            <filter val="10/13/2020 16:08:54"/>
            <filter val="10/5/2020 7:38:14"/>
            <filter val="10/22/2020 19:49:29"/>
            <filter val="10/13/2020 19:36:20"/>
            <filter val="10/16/2020 15:47:50"/>
            <filter val="10/23/2020 19:48:49"/>
            <filter val="10/24/2020 19:20:56"/>
            <filter val="10/18/2020 19:57:28"/>
            <filter val="10/17/2020 19:46:30"/>
            <filter val="10/29/2020 20:03:55"/>
            <filter val="10/2/2020 19:45:27"/>
            <filter val="10/13/2020 7:52:15"/>
            <filter val="10/7/2020 7:01:36"/>
            <filter val="10/5/2020 7:48:48"/>
            <filter val="10/21/2020 7:48:31"/>
            <filter val="10/20/2020 7:35:42"/>
            <filter val="10/27/2020 8:01:13"/>
            <filter val="10/22/2020 19:37:50"/>
            <filter val="10/26/2020 7:28:05"/>
            <filter val="10/5/2020 7:48:40"/>
            <filter val="10/1/2020 19:30:59"/>
            <filter val="10/17/2020 8:14:11"/>
            <filter val="10/20/2020 7:50:07"/>
            <filter val="10/9/2020 7:59:48"/>
            <filter val="10/16/2020 19:47:50"/>
            <filter val="10/25/2020 19:43:11"/>
            <filter val="10/7/2020 6:31:18"/>
            <filter val="10/3/2020 7:26:46"/>
            <filter val="10/24/2020 19:49:29"/>
            <filter val="10/6/2020 7:52:27"/>
            <filter val="10/21/2020 7:26:32"/>
            <filter val="10/14/2020 7:35:47"/>
            <filter val="10/13/2020 7:52:46"/>
            <filter val="10/6/2020 3:34:02"/>
            <filter val="10/2/2020 19:53:17"/>
            <filter val="10/9/2020 19:50:40"/>
            <filter val="10/13/2020 8:34:23"/>
            <filter val="10/18/2020 19:57:37"/>
            <filter val="10/22/2020 19:52:14"/>
            <filter val="10/8/2020 19:04:53"/>
            <filter val="10/3/2020 19:39:55"/>
            <filter val="10/22/2020 7:39:25"/>
            <filter val="10/7/2020 8:01:00"/>
            <filter val="10/26/2020 18:54:12"/>
            <filter val="10/16/2020 19:49:02"/>
            <filter val="10/6/2020 7:52:44"/>
            <filter val="10/24/2020 7:58:16"/>
            <filter val="10/23/2020 7:33:42"/>
            <filter val="10/26/2020 7:36:02"/>
            <filter val="10/26/2020 19:52:52"/>
            <filter val="10/8/2020 7:54:19"/>
            <filter val="10/24/2020 18:49:46"/>
            <filter val="10/5/2020 7:51:24"/>
            <filter val="10/16/2020 19:49:06"/>
            <filter val="10/21/2020 7:51:14"/>
            <filter val="10/22/2020 18:54:09"/>
            <filter val="10/18/2020 19:57:44"/>
            <filter val="10/6/2020 19:41:56"/>
            <filter val="10/9/2020 8:01:41"/>
            <filter val="10/9/2020 7:47:58"/>
            <filter val="10/4/2020 7:39:37"/>
            <filter val="10/14/2020 20:04:42"/>
            <filter val="10/3/2020 19:52:03"/>
            <filter val="10/26/2020 19:20:04"/>
            <filter val="10/16/2020 15:52:58"/>
            <filter val="10/17/2020 9:14:01"/>
            <filter val="10/28/2020 7:26:39"/>
            <filter val="10/2/2020 23:10:41"/>
            <filter val="10/7/2020 19:30:40"/>
            <filter val="10/29/2020 8:07:24"/>
            <filter val="10/12/2020 7:51:30"/>
            <filter val="10/15/2020 7:26:05"/>
            <filter val="10/14/2020 4:33:40"/>
            <filter val="10/29/2020 20:09:02"/>
            <filter val="10/9/2020 8:01:52"/>
            <filter val="10/15/2020 7:46:55"/>
            <filter val="10/6/2020 19:43:21"/>
            <filter val="10/23/2020 7:21:53"/>
            <filter val="10/9/2020 7:59:11"/>
            <filter val="10/5/2020 7:38:55"/>
            <filter val="10/28/2020 8:14:30"/>
            <filter val="10/25/2020 8:47:16"/>
            <filter val="10/25/2020 8:35:32"/>
            <filter val="10/27/2020 13:18:15"/>
            <filter val="10/28/2020 7:48:39"/>
            <filter val="10/6/2020 7:30:10"/>
            <filter val="10/13/2020 7:52:51"/>
            <filter val="10/22/2020 7:39:41"/>
            <filter val="10/15/2020 19:14:49"/>
            <filter val="10/26/2020 7:34:44"/>
            <filter val="10/21/2020 19:53:51"/>
            <filter val="10/5/2020 7:51:02"/>
            <filter val="10/22/2020 19:40:11"/>
            <filter val="10/8/2020 19:38:54"/>
            <filter val="10/27/2020 7:59:06"/>
            <filter val="10/13/2020 19:41:14"/>
            <filter val="10/16/2020 19:59:22"/>
            <filter val="10/4/2020 7:52:14"/>
            <filter val="10/1/2020 19:56:00"/>
            <filter val="10/3/2020 19:52:26"/>
            <filter val="10/17/2020 19:36:44"/>
            <filter val="10/11/2020 7:40:59"/>
            <filter val="10/6/2020 3:32:14"/>
            <filter val="10/17/2020 19:36:48"/>
            <filter val="10/24/2020 19:27:40"/>
            <filter val="10/2/2020 19:08:19"/>
            <filter val="10/5/2020 7:53:22"/>
            <filter val="10/28/2020 19:50:18"/>
            <filter val="10/9/2020 7:59:08"/>
            <filter val="10/29/2020 7:40:21"/>
            <filter val="10/27/2020 18:16:34"/>
            <filter val="10/6/2020 7:54:09"/>
            <filter val="10/20/2020 7:49:55"/>
            <filter val="10/28/2020 19:39:52"/>
            <filter val="10/3/2020 19:19:03"/>
            <filter val="10/4/2020 7:49:20"/>
            <filter val="10/12/2020 7:53:39"/>
            <filter val="10/28/2020 19:49:24"/>
            <filter val="10/20/2020 8:15:25"/>
            <filter val="10/27/2020 19:51:08"/>
            <filter val="10/21/2020 7:38:54"/>
            <filter val="10/2/2020 7:37:08"/>
            <filter val="10/22/2020 7:40:58"/>
            <filter val="10/6/2020 7:30:31"/>
            <filter val="10/3/2020 19:09:24"/>
            <filter val="10/6/2020 19:53:24"/>
            <filter val="10/11/2020 7:42:02"/>
            <filter val="10/23/2020 19:41:32"/>
            <filter val="10/27/2020 19:38:39"/>
            <filter val="10/6/2020 19:41:18"/>
            <filter val="10/5/2020 7:53:06"/>
            <filter val="10/16/2020 19:50:34"/>
            <filter val="10/26/2020 7:36:43"/>
            <filter val="10/8/2020 8:22:44"/>
            <filter val="10/3/2020 19:10:04"/>
            <filter val="10/17/2020 19:36:50"/>
            <filter val="10/13/2020 16:18:39"/>
            <filter val="10/9/2020 19:39:36"/>
            <filter val="10/24/2020 7:44:20"/>
            <filter val="10/9/2020 19:39:35"/>
            <filter val="10/6/2020 19:51:56"/>
            <filter val="10/9/2020 19:39:39"/>
            <filter val="10/7/2020 19:29:50"/>
            <filter val="10/9/2020 19:39:38"/>
            <filter val="10/15/2020 19:51:05"/>
            <filter val="10/13/2020 19:38:54"/>
            <filter val="10/11/2020 7:29:03"/>
            <filter val="10/7/2020 6:55:09"/>
            <filter val="10/27/2020 18:16:59"/>
            <filter val="10/16/2020 19:50:07"/>
            <filter val="10/19/2020 18:38:13"/>
            <filter val="10/12/2020 7:53:14"/>
            <filter val="10/14/2020 7:33:46"/>
            <filter val="10/23/2020 19:18:17"/>
            <filter val="10/18/2020 19:49:21"/>
            <filter val="10/9/2020 8:01:13"/>
            <filter val="10/9/2020 19:52:02"/>
            <filter val="10/20/2020 7:50:39"/>
            <filter val="10/16/2020 19:59:55"/>
            <filter val="10/9/2020 19:39:43"/>
            <filter val="10/27/2020 8:03:21"/>
            <filter val="10/9/2020 19:39:40"/>
            <filter val="10/18/2020 19:15:11"/>
            <filter val="10/23/2020 19:51:51"/>
            <filter val="10/25/2020 19:41:04"/>
            <filter val="10/10/2020 7:38:47"/>
            <filter val="10/15/2020 7:24:19"/>
            <filter val="10/22/2020 19:52:34"/>
            <filter val="10/2/2020 19:53:52"/>
            <filter val="10/18/2020 19:59:41"/>
            <filter val="10/26/2020 19:39:34"/>
            <filter val="10/18/2020 7:50:47"/>
            <filter val="10/8/2020 19:51:42"/>
            <filter val="10/23/2020 15:53:49"/>
            <filter val="10/4/2020 20:22:03"/>
            <filter val="10/14/2020 7:33:31"/>
            <filter val="10/24/2020 7:56:16"/>
            <filter val="10/7/2020 17:07:56"/>
            <filter val="10/6/2020 7:30:52"/>
            <filter val="10/12/2020 19:40:18"/>
            <filter val="10/25/2020 7:57:28"/>
            <filter val="10/17/2020 19:48:54"/>
            <filter val="10/7/2020 8:21:10"/>
            <filter val="10/28/2020 19:39:22"/>
            <filter val="10/7/2020 19:40:52"/>
            <filter val="10/12/2020 7:53:20"/>
            <filter val="10/27/2020 7:37:39"/>
            <filter val="10/5/2020 8:18:07"/>
            <filter val="10/8/2020 7:44:43"/>
            <filter val="10/4/2020 7:50:35"/>
            <filter val="10/10/2020 7:51:00"/>
            <filter val="10/28/2020 7:38:44"/>
          </filters>
        </filterColumn>
      </autoFilter>
    </customSheetView>
    <customSheetView guid="{FF4C3AD5-9290-4AD5-BDBE-D32B6983F0BA}" filter="1" showAutoFilter="1">
      <autoFilter ref="$A$1:$Z$1466">
        <filterColumn colId="1">
          <filters blank="1">
            <filter val="Смена 2 (20:00 - 8:00)"/>
            <filter val="Смена 2 (8:00 - 20:00)"/>
          </filters>
        </filterColumn>
        <filterColumn colId="3">
          <filters blank="1">
            <filter val="SMT"/>
          </filters>
        </filterColumn>
        <filterColumn colId="18">
          <filters>
            <filter val="Кезерев Виталий Романович"/>
            <filter val="Заславский Антон Игоревич"/>
            <filter val="Сергеев Алексей Андреевич"/>
            <filter val="Исаев Никита Дмитриевич"/>
            <filter val="Пономарев Юрий Андреевич"/>
            <filter val="Шилоносов Максим Евгеньевич"/>
            <filter val="Ельцов Андрей Николаевич"/>
            <filter val="ТНТ"/>
            <filter val="Белоглазова Виктория Сергеевна"/>
            <filter val="Шергин Родион Олегович"/>
            <filter val="Байрамашвили Альберт Зурабович"/>
            <filter val="Александрова Елена Сергеевна"/>
            <filter val="Муртищева Ольга Валентиновна"/>
            <filter val="Белоглазов Сергей Анатольевич"/>
            <filter val="Хохряков Илья Александрович"/>
            <filter val="Шапенков Геннадий Михайлович"/>
            <filter val="Аникина Раиса Владимировна"/>
            <filter val="Егоров Александр Александрович"/>
            <filter val="Александров Александр Викторович"/>
            <filter val="Стосик Степан Владимирович"/>
            <filter val="учётный код не найден"/>
          </filters>
        </filterColumn>
        <filterColumn colId="17">
          <filters blank="1">
            <filter val="Создание программы для AOI PRI"/>
            <filter val="Настройка линии Primary"/>
            <filter val="Сканирование заготовок (&quot;Завершение стадии&quot;)"/>
            <filter val="Написание программы для SEHO PRI"/>
            <filter val="Установка компонентов вручную"/>
            <filter val="Настройка установщиков"/>
            <filter val="Занесение в Aegis"/>
            <filter val="Подготовка компонентов к пайке"/>
            <filter val="Пайка компонентов SEC"/>
            <filter val="Обучение"/>
            <filter val="Сортировка"/>
            <filter val="Настройка SEHO PRI"/>
            <filter val="Внутрисхемное тестирование ICT"/>
            <filter val="Проверка программы на АОИ SEC"/>
            <filter val="Уборка линии"/>
            <filter val="Настойка первой платы на АОИ SEC"/>
            <filter val="Отладка программы"/>
            <filter val="Проверка на АОИ PRI"/>
            <filter val="Формовка компонетов"/>
            <filter val="Зарядка питателей Sec"/>
            <filter val="Маркировка плат"/>
            <filter val="Написание программы для АОИ PRI"/>
            <filter val="Отладка программы на AOI SEC"/>
            <filter val="Настройка MODUS"/>
            <filter val="Настойка первой платы на АОИ"/>
            <filter val="Установка винтов"/>
            <filter val="Разрядка питателей Prim"/>
            <filter val="Установка компонентов  на платы (ручная) SEC"/>
            <filter val="Зарядка питателей Prim"/>
            <filter val="Верификация компонентов на линию"/>
            <filter val="Сборка на линии Sec"/>
            <filter val="Написание инструкции"/>
            <filter val="Настройка принтера Sec"/>
            <filter val="Проверка на АОИ SEC"/>
            <filter val="Разрядка питателей Sec"/>
            <filter val="Подготовка компонентов к зарядке"/>
            <filter val="Проверка программы на АОИ"/>
            <filter val="Настройка линии Secondary"/>
            <filter val="Верификация заказа Waggon (после сборки)"/>
            <filter val="Установка компонентов  на платы (ручная) PRI"/>
            <filter val="Проверка участка после смены"/>
            <filter val="ReviewStation sec"/>
            <filter val="Настойка первой платы на АОИ PRI"/>
            <filter val="Выполнение технологических задач"/>
            <filter val="Проверка программы на АОИ PRI"/>
            <filter val="Проверка первой платы до оплавления"/>
            <filter val="Организационные работы"/>
            <filter val="Проведение обучения"/>
            <filter val="Написание программы для SEHO SEC"/>
            <filter val="Создание программы для AOI SEC"/>
            <filter val="Нанесение пасты"/>
            <filter val="Прохождение обучения"/>
            <filter val="Пайка компонентов PRI"/>
            <filter val="Сборка на линии Prim"/>
            <filter val="Настройка треев"/>
            <filter val="Отладка программы на AOI PRI"/>
            <filter val="Настройка SEHO SEC"/>
            <filter val="Написание программы для АОИ SEC"/>
            <filter val="Выполнение дополнительных работ на линии"/>
            <filter val="Настройка линии"/>
            <filter val="Настройка принтера Pri"/>
            <filter val="Проверка первой платы после пайки"/>
          </filters>
        </filterColumn>
      </autoFilter>
    </customSheetView>
    <customSheetView guid="{25524AC4-9313-4C90-B497-C47D3908F88A}" filter="1" showAutoFilter="1">
      <autoFilter ref="$A$1:$Z$1466">
        <filterColumn colId="1">
          <filters blank="1">
            <filter val="Смена 4 (8:00 - 20:00)"/>
          </filters>
        </filterColumn>
        <filterColumn colId="0">
          <filters blank="1">
            <filter val="10/22/2020 7:42:21"/>
            <filter val="10/27/2020 19:49:16"/>
            <filter val="10/25/2020 19:40:23"/>
            <filter val="10/16/2020 19:38:58"/>
            <filter val="10/15/2020 7:22:25"/>
            <filter val="10/21/2020 19:56:16"/>
            <filter val="10/9/2020 7:56:57"/>
            <filter val="10/15/2020 7:10:44"/>
            <filter val="10/26/2020 7:32:56"/>
            <filter val="10/6/2020 7:54:51"/>
            <filter val="10/24/2020 7:54:43"/>
            <filter val="10/5/2020 19:34:52"/>
            <filter val="10/17/2020 8:16:32"/>
            <filter val="10/7/2020 19:44:28"/>
            <filter val="10/24/2020 8:02:11"/>
            <filter val="10/17/2020 19:51:05"/>
            <filter val="10/12/2020 7:54:43"/>
            <filter val="10/28/2020 7:58:06"/>
            <filter val="10/3/2020 19:14:32"/>
            <filter val="10/23/2020 7:07:30"/>
            <filter val="10/26/2020 18:45:34"/>
            <filter val="10/22/2020 4:38:45"/>
            <filter val="10/5/2020 19:46:24"/>
            <filter val="10/29/2020 19:57:48"/>
            <filter val="10/27/2020 7:44:53"/>
            <filter val="10/11/2020 19:33:34"/>
            <filter val="10/23/2020 7:20:26"/>
            <filter val="10/15/2020 19:28:53"/>
            <filter val="10/14/2020 19:18:20"/>
            <filter val="10/11/2020 7:42:40"/>
            <filter val="10/18/2020 19:48:25"/>
            <filter val="10/5/2020 22:10:49"/>
            <filter val="10/28/2020 7:34:20"/>
            <filter val="10/23/2020 19:42:46"/>
            <filter val="10/27/2020 19:37:25"/>
            <filter val="10/28/2020 7:34:22"/>
            <filter val="10/23/2020 7:30:56"/>
            <filter val="10/21/2020 7:54:07"/>
            <filter val="10/27/2020 7:44:58"/>
            <filter val="10/29/2020 20:00:46"/>
            <filter val="10/3/2020 7:19:04"/>
            <filter val="10/22/2020 7:42:42"/>
            <filter val="10/10/2020 7:40:59"/>
            <filter val="10/6/2020 7:32:40"/>
            <filter val="10/26/2020 7:20:54"/>
            <filter val="10/4/2020 7:54:33"/>
            <filter val="10/27/2020 8:04:39"/>
            <filter val="10/14/2020 7:44:17"/>
            <filter val="10/21/2020 19:19:55"/>
            <filter val="10/10/2020 7:40:50"/>
            <filter val="10/2/2020 19:48:55"/>
            <filter val="10/15/2020 19:51:48"/>
            <filter val="10/2/2020 7:29:37"/>
            <filter val="10/27/2020 19:37:59"/>
            <filter val="10/25/2020 19:52:34"/>
            <filter val="10/17/2020 7:58:39"/>
            <filter val="10/9/2020 19:30:55"/>
            <filter val="10/7/2020 7:22:26"/>
            <filter val="10/17/2020 7:58:35"/>
            <filter val="10/8/2020 21:01:47"/>
            <filter val="10/1/2020 20:17:31"/>
            <filter val="10/25/2020 8:48:55"/>
            <filter val="10/9/2020 8:04:45"/>
            <filter val="10/8/2020 7:46:18"/>
            <filter val="10/22/2020 19:54:23"/>
            <filter val="10/24/2020 19:30:31"/>
            <filter val="10/27/2020 19:49:26"/>
            <filter val="10/21/2020 19:20:33"/>
            <filter val="10/1/2020 19:28:06"/>
            <filter val="10/27/2020 19:50:19"/>
            <filter val="10/24/2020 19:52:50"/>
            <filter val="10/28/2020 7:34:49"/>
            <filter val="10/4/2020 7:42:58"/>
            <filter val="10/21/2020 7:42:19"/>
            <filter val="10/20/2020 8:12:18"/>
            <filter val="10/15/2020 19:51:37"/>
            <filter val="10/28/2020 19:35:28"/>
            <filter val="10/9/2020 7:56:26"/>
            <filter val="10/14/2020 19:55:07"/>
            <filter val="10/21/2020 19:56:42"/>
            <filter val="10/18/2020 20:15:36"/>
            <filter val="10/4/2020 7:44:00"/>
            <filter val="10/16/2020 19:51:29"/>
            <filter val="10/23/2020 19:42:25"/>
            <filter val="10/16/2020 19:28:29"/>
            <filter val="10/23/2020 19:42:27"/>
            <filter val="10/18/2020 7:58:04"/>
            <filter val="10/23/2020 19:42:28"/>
            <filter val="10/5/2020 7:30:46"/>
            <filter val="10/13/2020 7:44:40"/>
            <filter val="10/15/2020 7:44:41"/>
            <filter val="10/4/2020 8:00:47"/>
            <filter val="10/22/2020 19:54:12"/>
            <filter val="10/5/2020 8:36:15"/>
            <filter val="10/21/2020 7:30:35"/>
            <filter val="10/10/2020 7:39:55"/>
            <filter val="10/15/2020 7:19:59"/>
            <filter val="10/5/2020 7:56:13"/>
            <filter val="10/13/2020 7:44:58"/>
            <filter val="10/5/2020 7:56:14"/>
            <filter val="10/16/2020 20:15:38"/>
            <filter val="10/6/2020 7:56:36"/>
            <filter val="10/4/2020 7:40:42"/>
            <filter val="10/6/2020 7:56:30"/>
            <filter val="10/7/2020 8:02:02"/>
            <filter val="10/20/2020 7:29:49"/>
            <filter val="10/15/2020 7:10:05"/>
            <filter val="10/10/2020 19:47:38"/>
            <filter val="10/17/2020 19:51:45"/>
            <filter val="10/16/2020 19:41:31"/>
            <filter val="10/21/2020 19:54:32"/>
            <filter val="10/14/2020 7:32:12"/>
            <filter val="10/24/2020 18:50:13"/>
            <filter val="10/7/2020 6:29:21"/>
            <filter val="10/21/2020 7:54:33"/>
            <filter val="10/16/2020 19:53:13"/>
            <filter val="10/25/2020 7:42:43"/>
            <filter val="10/7/2020 19:42:41"/>
            <filter val="10/9/2020 7:44:39"/>
            <filter val="10/18/2020 20:01:54"/>
            <filter val="10/17/2020 19:41:07"/>
            <filter val="10/17/2020 19:41:08"/>
            <filter val="10/16/2020 15:53:36"/>
            <filter val="10/28/2020 7:48:18"/>
            <filter val="10/5/2020 21:40:13"/>
            <filter val="10/20/2020 7:29:32"/>
            <filter val="10/14/2020 7:58:15"/>
            <filter val="10/25/2020 19:54:01"/>
            <filter val="10/9/2020 19:54:57"/>
            <filter val="10/25/2020 19:49:26"/>
            <filter val="11/2/2020 7:53:06"/>
            <filter val="10/8/2020 21:01:14"/>
            <filter val="10/5/2020 21:39:21"/>
            <filter val="10/29/2020 7:36:49"/>
            <filter val="10/14/2020 4:31:32"/>
            <filter val="10/18/2020 19:51:23"/>
            <filter val="10/27/2020 7:46:24"/>
            <filter val="10/1/2020 19:51:16"/>
            <filter val="10/5/2020 7:54:56"/>
            <filter val="10/5/2020 7:44:04"/>
            <filter val="10/6/2020 6:39:25"/>
            <filter val="10/29/2020 19:59:19"/>
            <filter val="10/21/2020 7:32:24"/>
            <filter val="10/21/2020 19:54:50"/>
            <filter val="10/14/2020 7:30:55"/>
            <filter val="10/8/2020 8:24:39"/>
            <filter val="10/16/2020 19:51:59"/>
            <filter val="10/9/2020 19:54:25"/>
            <filter val="10/8/2020 19:44:14"/>
            <filter val="10/28/2020 19:47:23"/>
            <filter val="10/23/2020 15:56:44"/>
            <filter val="10/18/2020 7:58:52"/>
            <filter val="10/18/2020 19:51:35"/>
            <filter val="10/5/2020 7:54:40"/>
            <filter val="10/15/2020 7:44:06"/>
            <filter val="10/22/2020 7:44:36"/>
            <filter val="10/17/2020 9:11:41"/>
            <filter val="10/16/2020 15:53:56"/>
            <filter val="10/5/2020 19:44:25"/>
            <filter val="10/23/2020 13:35:10"/>
            <filter val="10/24/2020 7:52:59"/>
            <filter val="10/10/2020 7:42:23"/>
            <filter val="10/7/2020 6:30:16"/>
            <filter val="10/26/2020 7:34:05"/>
            <filter val="10/20/2020 6:59:01"/>
            <filter val="10/18/2020 7:36:37"/>
            <filter val="10/23/2020 19:44:07"/>
            <filter val="10/25/2020 7:54:30"/>
            <filter val="10/4/2020 7:52:55"/>
            <filter val="10/23/2020 7:29:12"/>
            <filter val="10/28/2020 7:58:35"/>
            <filter val="10/18/2020 5:15:16"/>
            <filter val="10/26/2020 7:22:26"/>
            <filter val="10/14/2020 7:42:12"/>
            <filter val="10/4/2020 19:44:45"/>
            <filter val="10/26/2020 7:19:01"/>
            <filter val="10/22/2020 19:58:09"/>
            <filter val="10/20/2020 19:36:47"/>
            <filter val="10/13/2020 7:58:24"/>
            <filter val="10/25/2020 19:47:58"/>
            <filter val="10/26/2020 7:19:03"/>
            <filter val="10/23/2020 19:44:51"/>
            <filter val="10/16/2020 7:32:10"/>
            <filter val="10/3/2020 19:46:21"/>
            <filter val="10/17/2020 19:53:25"/>
            <filter val="10/4/2020 20:40:22"/>
            <filter val="10/8/2020 8:28:53"/>
            <filter val="10/5/2020 8:34:00"/>
            <filter val="10/12/2020 7:46:09"/>
            <filter val="10/17/2020 20:01:27"/>
            <filter val="10/14/2020 7:58:50"/>
            <filter val="11/2/2020 7:43:07"/>
            <filter val="10/2/2020 19:36:19"/>
            <filter val="10/16/2020 19:55:05"/>
            <filter val="10/8/2020 19:58:12"/>
            <filter val="10/9/2020 7:19:12"/>
            <filter val="10/17/2020 19:41:45"/>
            <filter val="10/3/2020 19:22:58"/>
            <filter val="10/27/2020 7:42:38"/>
            <filter val="10/20/2020 8:07:48"/>
            <filter val="10/16/2020 19:43:27"/>
            <filter val="10/21/2020 20:01:43"/>
            <filter val="10/14/2020 20:00:00"/>
            <filter val="10/28/2020 7:54:51"/>
            <filter val="10/28/2020 19:45:36"/>
            <filter val="10/7/2020 7:46:43"/>
            <filter val="10/15/2020 19:21:27"/>
            <filter val="10/31/2020 16:59:56"/>
            <filter val="10/25/2020 20:04:07"/>
            <filter val="10/5/2020 7:56:30"/>
            <filter val="10/4/2020 7:56:51"/>
            <filter val="10/9/2020 19:44:29"/>
            <filter val="10/16/2020 20:13:30"/>
            <filter val="10/1/2020 19:24:33"/>
            <filter val="10/15/2020 7:20:29"/>
            <filter val="10/28/2020 7:32:39"/>
            <filter val="10/26/2020 19:47:03"/>
            <filter val="10/21/2020 7:44:41"/>
            <filter val="10/11/2020 7:32:50"/>
            <filter val="10/4/2020 7:56:54"/>
            <filter val="10/6/2020 6:35:24"/>
            <filter val="10/5/2020 7:44:48"/>
            <filter val="10/3/2020 19:04:43"/>
            <filter val="10/9/2020 19:32:47"/>
            <filter val="10/4/2020 7:46:05"/>
            <filter val="10/22/2020 7:46:08"/>
            <filter val="10/13/2020 19:35:21"/>
            <filter val="10/20/2020 19:38:07"/>
            <filter val="10/4/2020 7:46:06"/>
            <filter val="10/21/2020 7:54:54"/>
            <filter val="10/18/2020 19:53:12"/>
            <filter val="10/24/2020 8:04:11"/>
            <filter val="10/19/2020 8:02:42"/>
            <filter val="10/27/2020 19:35:38"/>
            <filter val="10/7/2020 6:47:31"/>
            <filter val="11/2/2020 7:53:39"/>
            <filter val="10/16/2020 19:53:37"/>
            <filter val="10/10/2020 19:13:43"/>
            <filter val="10/15/2020 7:42:22"/>
            <filter val="10/14/2020 7:40:41"/>
            <filter val="10/9/2020 9:04:44"/>
            <filter val="10/7/2020 8:04:54"/>
            <filter val="10/11/2020 19:35:36"/>
            <filter val="10/22/2020 7:46:14"/>
            <filter val="10/17/2020 19:43:06"/>
            <filter val="10/21/2020 9:12:41"/>
            <filter val="10/9/2020 19:44:34"/>
            <filter val="10/6/2020 7:58:05"/>
            <filter val="10/9/2020 19:32:57"/>
            <filter val="10/1/2020 19:46:54"/>
            <filter val="10/2/2020 8:32:06"/>
            <filter val="10/18/2020 7:32:32"/>
            <filter val="10/5/2020 7:44:40"/>
            <filter val="10/1/2020 20:03:48"/>
            <filter val="10/5/2020 8:44:26"/>
            <filter val="10/24/2020 19:22:28"/>
            <filter val="10/17/2020 7:56:23"/>
            <filter val="10/14/2020 7:30:02"/>
            <filter val="10/5/2020 7:56:15"/>
            <filter val="10/31/2020 16:59:32"/>
            <filter val="10/5/2020 7:56:17"/>
            <filter val="10/5/2020 7:56:18"/>
            <filter val="10/14/2020 20:00:20"/>
            <filter val="10/5/2020 8:32:55"/>
            <filter val="10/20/2020 7:32:12"/>
            <filter val="10/8/2020 7:48:49"/>
            <filter val="10/5/2020 7:34:09"/>
            <filter val="10/18/2020 7:46:15"/>
            <filter val="10/4/2020 7:54:52"/>
            <filter val="10/25/2020 19:35:31"/>
            <filter val="10/16/2020 7:30:28"/>
            <filter val="10/26/2020 7:19:49"/>
            <filter val="10/2/2020 19:48:30"/>
            <filter val="10/15/2020 19:33:36"/>
            <filter val="10/6/2020 6:37:23"/>
            <filter val="10/7/2020 6:50:18"/>
            <filter val="10/9/2020 7:17:48"/>
            <filter val="10/12/2020 18:12:28"/>
            <filter val="10/29/2020 19:45:34"/>
            <filter val="10/15/2020 10:47:53"/>
            <filter val="10/6/2020 7:48:13"/>
            <filter val="10/1/2020 20:03:54"/>
            <filter val="10/12/2020 7:46:52"/>
            <filter val="10/1/2020 20:03:55"/>
            <filter val="10/22/2020 7:34:43"/>
            <filter val="10/1/2020 20:03:56"/>
            <filter val="10/25/2020 19:56:12"/>
            <filter val="10/15/2020 19:45:22"/>
            <filter val="10/15/2020 7:29:15"/>
            <filter val="10/23/2020 4:51:05"/>
            <filter val="10/22/2020 19:58:44"/>
            <filter val="10/26/2020 7:20:33"/>
            <filter val="10/7/2020 17:13:31"/>
            <filter val="10/9/2020 20:47:21"/>
            <filter val="10/23/2020 7:27:17"/>
            <filter val="10/23/2020 18:35:52"/>
            <filter val="10/16/2020 20:13:00"/>
            <filter val="10/8/2020 19:56:33"/>
            <filter val="10/5/2020 8:46:30"/>
            <filter val="10/6/2020 19:58:38"/>
            <filter val="10/17/2020 19:43:23"/>
            <filter val="10/22/2020 19:36:28"/>
            <filter val="10/22/2020 19:46:57"/>
            <filter val="10/11/2020 19:23:49"/>
            <filter val="10/25/2020 19:47:08"/>
            <filter val="10/18/2020 5:23:06"/>
            <filter val="10/5/2020 7:46:43"/>
            <filter val="10/2/2020 19:48:39"/>
            <filter val="10/25/2020 19:56:28"/>
            <filter val="10/21/2020 7:34:13"/>
            <filter val="10/11/2020 19:23:40"/>
            <filter val="10/6/2020 3:36:57"/>
            <filter val="10/15/2020 7:30:29"/>
            <filter val="10/5/2020 8:34:51"/>
            <filter val="10/8/2020 19:12:27"/>
            <filter val="10/18/2020 19:19:59"/>
            <filter val="10/18/2020 19:20:46"/>
            <filter val="10/15/2020 19:55:49"/>
            <filter val="10/21/2020 8:56:40"/>
            <filter val="10/9/2020 20:02:41"/>
            <filter val="10/27/2020 19:57:17"/>
            <filter val="10/21/2020 7:34:40"/>
            <filter val="10/2/2020 7:30:28"/>
            <filter val="10/20/2020 7:00:02"/>
            <filter val="10/18/2020 7:34:08"/>
            <filter val="11/2/2020 7:31:44"/>
            <filter val="10/26/2020 19:57:13"/>
            <filter val="10/3/2020 7:19:52"/>
            <filter val="10/21/2020 7:34:46"/>
            <filter val="10/15/2020 10:47:31"/>
            <filter val="10/26/2020 7:30:52"/>
            <filter val="10/18/2020 7:56:36"/>
            <filter val="10/21/2020 7:34:45"/>
            <filter val="10/21/2020 7:34:44"/>
            <filter val="10/1/2020 19:48:39"/>
            <filter val="10/21/2020 7:34:42"/>
            <filter val="10/22/2020 7:36:02"/>
            <filter val="10/19/2020 19:32:09"/>
            <filter val="10/21/2020 19:46:39"/>
            <filter val="10/25/2020 7:40:42"/>
            <filter val="10/13/2020 7:48:31"/>
            <filter val="10/29/2020 7:34:34"/>
            <filter val="10/7/2020 7:26:20"/>
            <filter val="10/8/2020 19:56:54"/>
            <filter val="10/5/2020 7:34:53"/>
            <filter val="10/8/2020 19:56:53"/>
            <filter val="10/20/2020 7:44:33"/>
            <filter val="10/11/2020 19:33:56"/>
            <filter val="10/21/2020 19:24:33"/>
            <filter val="10/4/2020 19:46:57"/>
            <filter val="10/14/2020 7:40:04"/>
            <filter val="10/10/2020 19:57:11"/>
            <filter val="10/13/2020 19:11:21"/>
            <filter val="10/9/2020 19:34:38"/>
            <filter val="10/7/2020 6:50:08"/>
            <filter val="10/23/2020 19:46:24"/>
            <filter val="10/1/2020 19:48:34"/>
            <filter val="10/24/2020 7:50:34"/>
            <filter val="10/27/2020 19:33:41"/>
            <filter val="10/20/2020 7:32:58"/>
            <filter val="10/8/2020 8:28:09"/>
            <filter val="10/23/2020 19:46:29"/>
            <filter val="10/21/2020 7:34:36"/>
            <filter val="10/7/2020 7:26:35"/>
            <filter val="10/21/2020 7:34:35"/>
            <filter val="10/9/2020 7:52:20"/>
            <filter val="10/21/2020 7:34:33"/>
            <filter val="10/14/2020 19:55:43"/>
            <filter val="10/20/2020 18:13:55"/>
            <filter val="10/8/2020 21:03:15"/>
            <filter val="10/16/2020 19:43:47"/>
            <filter val="10/27/2020 7:42:56"/>
            <filter val="10/4/2020 7:56:16"/>
            <filter val="10/22/2020 7:46:52"/>
            <filter val="10/26/2020 7:20:05"/>
            <filter val="10/2/2020 19:36:41"/>
            <filter val="10/9/2020 19:46:18"/>
            <filter val="10/15/2020 7:30:09"/>
            <filter val="10/27/2020 18:01:15"/>
            <filter val="10/15/2020 19:55:30"/>
            <filter val="10/8/2020 19:46:28"/>
            <filter val="10/14/2020 20:02:02"/>
            <filter val="10/9/2020 19:56:53"/>
            <filter val="10/9/2020 7:40:49"/>
            <filter val="10/5/2020 22:58:56"/>
            <filter val="10/18/2020 19:55:04"/>
            <filter val="10/25/2020 8:42:55"/>
            <filter val="10/9/2020 19:36:23"/>
            <filter val="10/15/2020 19:35:13"/>
            <filter val="10/13/2020 19:13:55"/>
            <filter val="10/14/2020 19:58:49"/>
            <filter val="10/29/2020 7:41:30"/>
            <filter val="10/16/2020 20:12:02"/>
            <filter val="10/15/2020 15:50:43"/>
            <filter val="10/23/2020 19:47:46"/>
            <filter val="10/29/2020 20:18:28"/>
            <filter val="10/19/2020 19:42:27"/>
            <filter val="10/29/2020 8:11:24"/>
            <filter val="10/9/2020 7:51:44"/>
            <filter val="10/3/2020 19:55:08"/>
            <filter val="10/28/2020 19:43:04"/>
            <filter val="10/29/2020 19:42:00"/>
            <filter val="10/15/2020 7:50:50"/>
            <filter val="10/14/2020 19:58:44"/>
            <filter val="10/27/2020 19:32:25"/>
            <filter val="10/14/2020 7:26:48"/>
            <filter val="10/16/2020 20:10:54"/>
            <filter val="10/21/2020 8:52:20"/>
            <filter val="10/2/2020 19:56:04"/>
            <filter val="10/7/2020 7:27:12"/>
            <filter val="10/6/2020 7:48:51"/>
            <filter val="10/4/2020 7:36:16"/>
            <filter val="10/9/2020 20:49:02"/>
            <filter val="10/25/2020 8:44:01"/>
            <filter val="10/6/2020 3:31:10"/>
            <filter val="10/17/2020 19:45:06"/>
            <filter val="10/20/2020 7:34:50"/>
            <filter val="10/1/2020 20:12:13"/>
            <filter val="10/14/2020 7:38:27"/>
            <filter val="10/26/2020 7:15:33"/>
            <filter val="10/26/2020 18:38:57"/>
            <filter val="10/4/2020 7:48:17"/>
            <filter val="10/2/2020 19:09:34"/>
            <filter val="10/8/2020 7:51:34"/>
            <filter val="10/4/2020 7:48:27"/>
            <filter val="10/2/2020 7:22:49"/>
            <filter val="10/1/2020 20:00:38"/>
            <filter val="10/1/2020 19:57:30"/>
            <filter val="10/21/2020 9:00:07"/>
            <filter val="10/6/2020 19:50:49"/>
            <filter val="10/14/2020 7:26:27"/>
            <filter val="10/22/2020 7:36:41"/>
            <filter val="10/25/2020 19:44:46"/>
            <filter val="10/8/2020 19:37:09"/>
            <filter val="10/27/2020 7:51:18"/>
            <filter val="10/23/2020 19:47:24"/>
            <filter val="10/27/2020 19:56:00"/>
            <filter val="10/5/2020 7:47:43"/>
            <filter val="10/26/2020 7:37:48"/>
            <filter val="10/25/2020 19:44:41"/>
            <filter val="10/23/2020 7:24:31"/>
            <filter val="10/5/2020 7:35:49"/>
            <filter val="10/14/2020 19:24:01"/>
            <filter val="10/21/2020 7:47:28"/>
            <filter val="10/8/2020 19:35:56"/>
            <filter val="10/8/2020 19:35:54"/>
            <filter val="10/21/2020 10:30:12"/>
            <filter val="10/8/2020 19:35:52"/>
            <filter val="10/9/2020 7:16:41"/>
            <filter val="10/9/2020 8:44:29"/>
            <filter val="10/2/2020 7:34:39"/>
            <filter val="10/17/2020 19:45:29"/>
            <filter val="10/2/2020 7:24:11"/>
            <filter val="10/13/2020 19:50:02"/>
            <filter val="10/2/2020 19:44:17"/>
            <filter val="10/13/2020 19:37:31"/>
            <filter val="10/16/2020 19:22:40"/>
            <filter val="10/3/2020 7:47:28"/>
            <filter val="10/18/2020 19:08:12"/>
            <filter val="10/14/2020 20:03:18"/>
            <filter val="10/27/2020 18:15:56"/>
            <filter val="10/3/2020 5:59:29"/>
            <filter val="10/13/2020 16:10:50"/>
            <filter val="10/8/2020 19:03:10"/>
            <filter val="10/31/2020 19:49:42"/>
            <filter val="10/5/2020 8:30:30"/>
            <filter val="10/24/2020 7:47:39"/>
            <filter val="10/11/2020 19:15:14"/>
            <filter val="10/28/2020 18:04:23"/>
            <filter val="10/22/2020 7:48:48"/>
            <filter val="10/20/2020 7:02:02"/>
            <filter val="10/17/2020 19:45:36"/>
            <filter val="10/25/2020 19:44:26"/>
            <filter val="10/9/2020 20:49:32"/>
            <filter val="10/27/2020 19:54:00"/>
            <filter val="10/24/2020 19:21:55"/>
            <filter val="10/24/2020 7:59:12"/>
            <filter val="10/12/2020 7:50:45"/>
            <filter val="10/3/2020 7:45:40"/>
            <filter val="10/2/2020 19:46:07"/>
            <filter val="10/17/2020 8:01:11"/>
            <filter val="10/29/2020 20:04:50"/>
            <filter val="10/29/2020 8:08:55"/>
            <filter val="10/27/2020 19:29:46"/>
            <filter val="10/27/2020 8:00:11"/>
            <filter val="10/5/2020 8:32:20"/>
            <filter val="10/13/2020 16:10:23"/>
            <filter val="10/17/2020 19:57:23"/>
            <filter val="10/1/2020 19:55:46"/>
            <filter val="10/8/2020 19:59:27"/>
            <filter val="10/15/2020 14:56:07"/>
            <filter val="10/16/2020 19:58:38"/>
            <filter val="10/1/2020 19:47:02"/>
            <filter val="10/17/2020 19:45:48"/>
            <filter val="10/19/2020 19:40:56"/>
            <filter val="10/27/2020 19:52:54"/>
            <filter val="10/17/2020 8:01:07"/>
            <filter val="10/27/2020 19:30:44"/>
            <filter val="10/9/2020 8:09:09"/>
            <filter val="10/14/2020 7:36:43"/>
            <filter val="10/13/2020 19:13:20"/>
            <filter val="10/6/2020 7:38:31"/>
            <filter val="10/2/2020 19:46:24"/>
            <filter val="10/4/2020 7:46:39"/>
            <filter val="10/27/2020 7:41:26"/>
            <filter val="10/1/2020 19:55:52"/>
            <filter val="10/18/2020 19:56:32"/>
            <filter val="10/12/2020 7:37:58"/>
            <filter val="10/1/2020 19:55:55"/>
            <filter val="10/21/2020 7:50:04"/>
            <filter val="10/1/2020 19:55:56"/>
            <filter val="10/14/2020 20:03:36"/>
            <filter val="10/1/2020 19:55:53"/>
            <filter val="10/1/2020 19:55:59"/>
            <filter val="10/16/2020 15:48:34"/>
            <filter val="10/22/2020 18:55:25"/>
            <filter val="10/1/2020 19:55:57"/>
            <filter val="10/28/2020 19:53:28"/>
            <filter val="10/21/2020 7:49:15"/>
            <filter val="10/29/2020 18:13:46"/>
            <filter val="10/5/2020 7:37:31"/>
            <filter val="10/24/2020 19:48:39"/>
            <filter val="10/18/2020 19:06:25"/>
            <filter val="10/11/2020 19:54:07"/>
            <filter val="10/5/2020 7:50:02"/>
            <filter val="10/1/2020 19:23:18"/>
            <filter val="10/10/2020 19:43:12"/>
            <filter val="10/22/2020 7:38:28"/>
            <filter val="10/13/2020 7:51:56"/>
            <filter val="11/2/2020 7:58:09"/>
            <filter val="10/15/2020 7:27:16"/>
            <filter val="10/8/2020 19:37:51"/>
            <filter val="10/28/2020 19:41:41"/>
            <filter val="10/23/2020 7:22:52"/>
            <filter val="10/8/2020 19:37:50"/>
            <filter val="10/4/2020 7:58:27"/>
            <filter val="10/22/2020 5:06:08"/>
            <filter val="10/18/2020 19:56:47"/>
            <filter val="10/26/2020 6:01:08"/>
            <filter val="10/28/2020 7:52:57"/>
            <filter val="10/9/2020 19:36:52"/>
            <filter val="10/25/2020 19:42:56"/>
            <filter val="10/17/2020 19:47:09"/>
            <filter val="10/3/2020 19:06:12"/>
            <filter val="10/15/2020 12:10:40"/>
            <filter val="10/23/2020 19:49:15"/>
            <filter val="10/17/2020 19:47:05"/>
            <filter val="10/23/2020 7:12:20"/>
            <filter val="10/2/2020 19:44:59"/>
            <filter val="10/2/2020 19:46:00"/>
            <filter val="10/27/2020 18:15:15"/>
            <filter val="10/12/2020 19:36:31"/>
            <filter val="10/29/2020 7:43:29"/>
            <filter val="10/14/2020 19:58:35"/>
            <filter val="10/6/2020 7:28:14"/>
            <filter val="10/13/2020 7:51:47"/>
            <filter val="10/15/2020 19:35:44"/>
            <filter val="10/16/2020 19:46:37"/>
            <filter val="10/28/2020 7:30:43"/>
            <filter val="10/12/2020 7:50:39"/>
            <filter val="10/8/2020 19:59:51"/>
            <filter val="10/21/2020 7:49:00"/>
            <filter val="10/6/2020 19:27:22"/>
            <filter val="10/25/2020 7:46:43"/>
            <filter val="10/23/2020 19:39:19"/>
            <filter val="10/17/2020 19:47:19"/>
            <filter val="10/4/2020 7:38:43"/>
            <filter val="10/16/2020 19:48:20"/>
            <filter val="10/24/2020 19:21:16"/>
            <filter val="10/8/2020 19:39:49"/>
            <filter val="10/4/2020 7:51:17"/>
            <filter val="10/14/2020 7:36:19"/>
            <filter val="10/23/2020 7:34:23"/>
            <filter val="10/23/2020 7:10:59"/>
            <filter val="10/8/2020 8:23:43"/>
            <filter val="10/11/2020 19:30:56"/>
            <filter val="10/15/2020 7:47:43"/>
            <filter val="10/19/2020 18:40:30"/>
            <filter val="10/2/2020 7:38:14"/>
            <filter val="10/27/2020 8:02:09"/>
            <filter val="10/7/2020 19:28:56"/>
            <filter val="10/13/2020 8:33:42"/>
            <filter val="10/22/2020 19:51:49"/>
            <filter val="10/27/2020 19:52:15"/>
            <filter val="10/1/2020 19:55:07"/>
            <filter val="10/21/2020 7:27:16"/>
            <filter val="10/5/2020 22:42:20"/>
            <filter val="10/19/2020 18:39:33"/>
            <filter val="10/5/2020 7:29:06"/>
            <filter val="10/9/2020 20:09:50"/>
            <filter val="10/10/2020 19:48:59"/>
            <filter val="10/23/2020 7:34:18"/>
            <filter val="10/7/2020 7:00:45"/>
            <filter val="10/26/2020 18:43:06"/>
            <filter val="10/15/2020 7:25:03"/>
            <filter val="10/17/2020 9:13:06"/>
            <filter val="10/12/2020 19:41:41"/>
            <filter val="10/18/2020 19:58:15"/>
            <filter val="10/26/2020 19:18:42"/>
            <filter val="10/9/2020 8:14:07"/>
            <filter val="10/25/2020 19:42:23"/>
            <filter val="10/20/2020 7:36:41"/>
            <filter val="10/14/2020 7:46:38"/>
            <filter val="10/8/2020 19:52:45"/>
            <filter val="10/3/2020 7:27:34"/>
            <filter val="10/23/2020 19:17:09"/>
            <filter val="10/6/2020 7:51:41"/>
            <filter val="10/28/2020 7:47:58"/>
            <filter val="10/15/2020 12:39:33"/>
            <filter val="10/15/2020 19:15:26"/>
            <filter val="10/5/2020 7:27:38"/>
            <filter val="10/28/2020 19:41:04"/>
            <filter val="10/17/2020 8:13:28"/>
            <filter val="10/15/2020 7:25:37"/>
            <filter val="10/26/2020 7:23:48"/>
            <filter val="10/14/2020 20:05:23"/>
            <filter val="10/21/2020 7:49:47"/>
            <filter val="10/5/2020 7:39:24"/>
            <filter val="10/14/2020 7:34:43"/>
            <filter val="10/4/2020 7:41:01"/>
            <filter val="10/16/2020 19:48:10"/>
            <filter val="10/15/2020 7:35:53"/>
            <filter val="10/28/2020 19:38:18"/>
            <filter val="10/8/2020 19:17:01"/>
            <filter val="10/3/2020 20:00:45"/>
            <filter val="10/14/2020 7:54:31"/>
            <filter val="10/9/2020 19:51:09"/>
            <filter val="10/7/2020 8:00:09"/>
            <filter val="10/11/2020 19:29:48"/>
            <filter val="10/1/2020 20:09:28"/>
            <filter val="10/19/2020 19:50:22"/>
            <filter val="10/6/2020 7:28:55"/>
            <filter val="10/16/2020 19:36:40"/>
            <filter val="10/21/2020 7:50:29"/>
            <filter val="10/6/2020 19:29:26"/>
            <filter val="10/22/2020 19:53:34"/>
            <filter val="10/15/2020 19:50:59"/>
            <filter val="10/2/2020 7:24:44"/>
            <filter val="10/5/2020 7:52:52"/>
            <filter val="10/3/2020 19:41:44"/>
            <filter val="10/9/2020 7:58:38"/>
            <filter val="10/29/2020 19:52:06"/>
            <filter val="10/27/2020 0:18:49"/>
            <filter val="10/9/2020 19:28:37"/>
            <filter val="10/13/2020 7:53:55"/>
            <filter val="10/27/2020 7:38:16"/>
            <filter val="10/25/2020 8:32:54"/>
            <filter val="10/8/2020 19:42:10"/>
            <filter val="10/28/2020 7:40:01"/>
            <filter val="10/15/2020 17:49:32"/>
            <filter val="10/2/2020 19:54:27"/>
            <filter val="10/14/2020 20:05:48"/>
            <filter val="10/8/2020 7:43:42"/>
            <filter val="10/18/2020 19:58:47"/>
            <filter val="10/24/2020 7:45:15"/>
            <filter val="10/9/2020 19:41:19"/>
            <filter val="10/24/2020 7:45:22"/>
            <filter val="10/11/2020 7:41:36"/>
            <filter val="10/28/2020 7:27:14"/>
            <filter val="10/6/2020 7:43:07"/>
            <filter val="10/20/2020 8:14:59"/>
            <filter val="10/17/2020 8:15:36"/>
            <filter val="10/1/2020 19:31:58"/>
            <filter val="10/7/2020 6:32:20"/>
            <filter val="10/5/2020 21:42:31"/>
            <filter val="10/5/2020 8:40:49"/>
            <filter val="10/5/2020 7:29:49"/>
            <filter val="10/11/2020 7:41:31"/>
            <filter val="10/8/2020 7:55:35"/>
            <filter val="10/23/2020 19:40:33"/>
            <filter val="10/26/2020 18:53:03"/>
            <filter val="10/3/2020 7:47:58"/>
            <filter val="10/27/2020 19:39:07"/>
            <filter val="10/7/2020 7:00:00"/>
            <filter val="10/7/2020 6:56:15"/>
            <filter val="10/23/2020 7:32:32"/>
            <filter val="10/1/2020 20:22:00"/>
            <filter val="10/12/2020 7:54:11"/>
            <filter val="10/14/2020 7:34:27"/>
            <filter val="10/16/2020 19:51:03"/>
            <filter val="10/1/2020 19:43:38"/>
            <filter val="10/29/2020 8:06:46"/>
            <filter val="10/14/2020 19:28:23"/>
            <filter val="10/2/2020 19:54:34"/>
            <filter val="10/10/2020 7:39:25"/>
            <filter val="10/15/2020 7:45:48"/>
            <filter val="10/26/2020 19:18:00"/>
            <filter val="10/24/2020 7:43:50"/>
            <filter val="10/27/2020 7:48:44"/>
            <filter val="10/15/2020 7:23:58"/>
            <filter val="10/15/2020 15:39:32"/>
            <filter val="10/6/2020 7:53:21"/>
            <filter val="10/5/2020 7:40:44"/>
            <filter val="10/14/2020 19:16:30"/>
            <filter val="10/8/2020 19:52:02"/>
            <filter val="10/8/2020 8:21:37"/>
            <filter val="10/26/2020 18:51:57"/>
            <filter val="10/3/2020 7:25:55"/>
            <filter val="10/29/2020 7:41:10"/>
            <filter val="10/2/2020 19:09:00"/>
            <filter val="10/17/2020 19:49:13"/>
            <filter val="10/17/2020 7:59:49"/>
            <filter val="10/25/2020 8:34:16"/>
            <filter val="10/17/2020 19:49:10"/>
            <filter val="10/17/2020 19:50:15"/>
            <filter val="10/5/2020 7:40:51"/>
            <filter val="10/8/2020 19:40:51"/>
            <filter val="10/17/2020 7:27:12"/>
            <filter val="10/4/2020 7:38:57"/>
            <filter val="10/5/2020 7:52:21"/>
            <filter val="10/21/2020 7:29:17"/>
            <filter val="10/2/2020 7:24:55"/>
            <filter val="10/21/2020 19:19:04"/>
            <filter val="10/25/2020 19:39:40"/>
            <filter val="10/23/2020 19:40:57"/>
            <filter val="10/3/2020 19:08:35"/>
            <filter val="10/28/2020 19:38:57"/>
            <filter val="10/21/2020 9:17:19"/>
            <filter val="10/6/2020 19:52:32"/>
            <filter val="10/16/2020 7:36:26"/>
            <filter val="10/12/2020 7:52:55"/>
            <filter val="10/13/2020 19:40:09"/>
            <filter val="10/28/2020 19:38:53"/>
            <filter val="10/14/2020 7:34:03"/>
            <filter val="10/16/2020 19:48:57"/>
            <filter val="10/9/2020 19:51:43"/>
            <filter val="10/17/2020 7:59:58"/>
            <filter val="10/9/2020 7:46:25"/>
            <filter val="10/15/2020 7:45:51"/>
            <filter val="10/6/2020 3:33:03"/>
            <filter val="10/14/2020 7:44:44"/>
            <filter val="10/29/2020 20:06:49"/>
            <filter val="10/8/2020 18:52:30"/>
            <filter val="10/24/2020 7:43:30"/>
            <filter val="10/15/2020 19:52:32"/>
            <filter val="10/26/2020 6:04:55"/>
            <filter val="10/7/2020 19:33:15"/>
            <filter val="10/25/2020 7:43:54"/>
            <filter val="10/9/2020 19:41:57"/>
            <filter val="10/4/2020 7:53:40"/>
            <filter val="10/27/2020 19:26:14"/>
            <filter val="10/1/2020 19:52:06"/>
            <filter val="10/6/2020 7:31:56"/>
            <filter val="10/18/2020 5:26:27"/>
            <filter val="10/26/2020 7:33:27"/>
            <filter val="10/6/2020 8:01:56"/>
            <filter val="10/7/2020 7:55:47"/>
            <filter val="10/14/2020 19:30:30"/>
            <filter val="10/20/2020 19:33:57"/>
            <filter val="10/6/2020 19:57:11"/>
            <filter val="10/9/2020 7:57:29"/>
            <filter val="10/2/2020 18:45:30"/>
            <filter val="10/23/2020 7:31:31"/>
            <filter val="10/10/2020 19:46:26"/>
            <filter val="10/14/2020 7:55:58"/>
            <filter val="10/12/2020 7:55:14"/>
            <filter val="10/16/2020 19:52:05"/>
            <filter val="10/6/2020 3:35:56"/>
            <filter val="10/16/2020 19:52:03"/>
            <filter val="10/16/2020 19:52:01"/>
            <filter val="10/16/2020 19:52:00"/>
            <filter val="10/13/2020 7:43:41"/>
            <filter val="10/15/2020 7:45:24"/>
            <filter val="10/15/2020 19:52:20"/>
            <filter val="10/4/2020 7:53:50"/>
            <filter val="10/22/2020 19:55:05"/>
            <filter val="10/7/2020 7:55:34"/>
            <filter val="10/8/2020 21:02:18"/>
            <filter val="10/5/2020 7:53:52"/>
            <filter val="10/20/2020 7:41:26"/>
            <filter val="10/7/2020 8:03:28"/>
            <filter val="10/17/2020 19:49:46"/>
            <filter val="10/25/2020 7:55:27"/>
            <filter val="10/6/2020 7:55:30"/>
            <filter val="10/25/2020 19:51:56"/>
            <filter val="10/23/2020 19:43:13"/>
            <filter val="10/7/2020 6:28:01"/>
            <filter val="10/27/2020 8:03:51"/>
            <filter val="10/11/2020 7:31:38"/>
            <filter val="10/22/2020 7:53:33"/>
            <filter val="10/1/2020 19:40:08"/>
            <filter val="10/15/2020 7:21:40"/>
            <filter val="10/6/2020 19:45:13"/>
            <filter val="10/22/2020 5:09:24"/>
            <filter val="10/10/2020 19:58:07"/>
            <filter val="10/2/2020 18:55:54"/>
            <filter val="11/2/2020 7:40:06"/>
            <filter val="10/6/2020 6:38:19"/>
            <filter val="10/16/2020 19:49:50"/>
            <filter val="10/10/2020 7:41:23"/>
            <filter val="10/23/2020 19:41:42"/>
            <filter val="10/15/2020 20:06:09"/>
            <filter val="10/18/2020 7:57:44"/>
            <filter val="10/23/2020 19:41:47"/>
            <filter val="10/5/2020 19:33:59"/>
            <filter val="10/26/2020 19:16:29"/>
            <filter val="10/6/2020 19:45:46"/>
            <filter val="10/16/2020 19:29:08"/>
            <filter val="10/8/2020 19:43:09"/>
            <filter val="10/23/2020 19:18:55"/>
            <filter val="10/5/2020 8:35:34"/>
            <filter val="10/24/2020 19:53:37"/>
            <filter val="10/5/2020 8:35:39"/>
            <filter val="10/28/2020 7:45:40"/>
            <filter val="10/15/2020 19:29:01"/>
            <filter val="10/5/2020 21:41:40"/>
            <filter val="10/14/2020 19:54:32"/>
            <filter val="10/20/2020 7:41:06"/>
            <filter val="10/16/2020 15:56:09"/>
            <filter val="10/21/2020 20:00:18"/>
            <filter val="10/16/2020 7:35:16"/>
            <filter val="10/20/2020 19:35:09"/>
            <filter val="10/17/2020 7:59:12"/>
            <filter val="10/13/2020 7:55:44"/>
            <filter val="10/26/2020 7:31:53"/>
            <filter val="10/25/2020 7:55:42"/>
            <filter val="10/17/2020 7:59:13"/>
            <filter val="10/16/2020 19:39:36"/>
            <filter val="10/16/2020 19:40:15"/>
            <filter val="10/23/2020 4:52:06"/>
            <filter val="10/19/2020 8:05:25"/>
            <filter val="10/15/2020 19:54:14"/>
            <filter val="10/2/2020 7:38:49"/>
            <filter val="10/11/2020 19:32:32"/>
            <filter val="10/23/2020 19:43:42"/>
            <filter val="10/20/2020 19:33:12"/>
            <filter val="10/17/2020 7:57:08"/>
            <filter val="10/17/2020 20:02:40"/>
            <filter val="10/29/2020 7:47:58"/>
            <filter val="10/28/2020 7:47:33"/>
            <filter val="10/6/2020 8:01:10"/>
            <filter val="10/24/2020 19:43:03"/>
            <filter val="10/5/2020 21:38:44"/>
            <filter val="10/3/2020 19:49:59"/>
            <filter val="10/13/2020 19:09:26"/>
            <filter val="10/6/2020 19:55:40"/>
            <filter val="10/3/2020 19:50:31"/>
            <filter val="10/22/2020 5:10:42"/>
            <filter val="10/27/2020 8:05:21"/>
            <filter val="10/1/2020 19:50:31"/>
            <filter val="10/22/2020 7:43:42"/>
            <filter val="10/8/2020 21:00:38"/>
            <filter val="10/16/2020 20:14:59"/>
            <filter val="10/5/2020 8:49:23"/>
            <filter val="10/5/2020 19:45:19"/>
            <filter val="10/1/2020 19:30:08"/>
            <filter val="10/1/2020 19:40:52"/>
            <filter val="10/29/2020 7:47:46"/>
            <filter val="10/28/2020 19:36:57"/>
            <filter val="10/7/2020 19:43:25"/>
            <filter val="10/20/2020 6:58:12"/>
            <filter val="10/14/2020 7:31:37"/>
            <filter val="10/24/2020 18:48:32"/>
            <filter val="10/3/2020 19:49:48"/>
            <filter val="10/13/2020 7:57:09"/>
            <filter val="10/26/2020 19:38:08"/>
            <filter val="10/9/2020 8:03:22"/>
            <filter val="10/26/2020 18:44:15"/>
            <filter val="10/6/2020 3:35:05"/>
            <filter val="10/16/2020 19:52:54"/>
            <filter val="10/6/2020 7:33:19"/>
            <filter val="10/21/2020 7:31:25"/>
            <filter val="10/14/2020 18:57:52"/>
            <filter val="10/4/2020 7:53:06"/>
            <filter val="10/8/2020 19:33:00"/>
            <filter val="10/9/2020 19:43:18"/>
            <filter val="10/26/2020 7:23:02"/>
            <filter val="11/2/2020 7:40:45"/>
            <filter val="10/5/2020 7:55:21"/>
            <filter val="10/15/2020 19:52:57"/>
            <filter val="10/26/2020 6:06:13"/>
            <filter val="10/26/2020 19:48:17"/>
            <filter val="10/13/2020 7:45:45"/>
            <filter val="10/22/2020 19:55:39"/>
            <filter val="10/23/2020 19:21:30"/>
            <filter val="10/21/2020 19:55:29"/>
            <filter val="10/4/2020 19:49:39"/>
            <filter val="10/9/2020 19:31:39"/>
            <filter val="10/17/2020 7:57:25"/>
            <filter val="10/17/2020 19:52:36"/>
            <filter val="10/4/2020 19:50:22"/>
            <filter val="10/7/2020 7:06:56"/>
            <filter val="10/1/2020 19:50:51"/>
            <filter val="10/14/2020 4:32:25"/>
            <filter val="10/15/2020 7:21:24"/>
            <filter val="10/27/2020 19:48:18"/>
            <filter val="10/16/2020 7:33:30"/>
            <filter val="10/25/2020 8:37:12"/>
            <filter val="10/25/2020 7:31:57"/>
            <filter val="10/17/2020 19:40:52"/>
            <filter val="10/22/2020 7:33:24"/>
            <filter val="10/21/2020 7:31:43"/>
            <filter val="10/1/2020 19:39:47"/>
            <filter val="10/27/2020 19:36:35"/>
            <filter val="10/12/2020 7:55:45"/>
            <filter val="10/18/2020 7:59:19"/>
            <filter val="10/6/2020 19:43:59"/>
            <filter val="10/16/2020 19:40:56"/>
            <filter val="10/9/2020 7:43:30"/>
            <filter val="10/27/2020 19:36:39"/>
            <filter val="10/26/2020 19:36:47"/>
            <filter val="10/13/2020 8:35:07"/>
            <filter val="10/1/2020 19:29:09"/>
            <filter val="10/10/2020 19:48:30"/>
            <filter val="10/1/2020 19:40:29"/>
            <filter val="10/12/2020 19:42:31"/>
            <filter val="10/13/2020 19:07:54"/>
            <filter val="10/28/2020 19:48:04"/>
            <filter val="10/27/2020 19:22:56"/>
            <filter val="10/7/2020 7:59:00"/>
            <filter val="10/15/2020 19:32:23"/>
            <filter val="10/15/2020 19:54:53"/>
            <filter val="10/17/2020 19:42:05"/>
            <filter val="10/5/2020 7:45:39"/>
            <filter val="10/29/2020 19:44:24"/>
            <filter val="10/27/2020 19:58:00"/>
            <filter val="10/18/2020 19:52:22"/>
            <filter val="10/16/2020 19:42:45"/>
            <filter val="10/5/2020 7:45:44"/>
            <filter val="10/18/2020 7:55:48"/>
            <filter val="10/1/2020 20:02:45"/>
            <filter val="10/8/2020 20:00:44"/>
            <filter val="10/10/2020 19:14:32"/>
            <filter val="10/21/2020 7:33:18"/>
            <filter val="10/8/2020 7:47:47"/>
            <filter val="10/22/2020 7:45:24"/>
            <filter val="10/15/2020 19:54:49"/>
            <filter val="10/23/2020 7:28:27"/>
            <filter val="10/9/2020 19:33:46"/>
            <filter val="10/6/2020 7:47:09"/>
            <filter val="10/3/2020 7:43:45"/>
            <filter val="10/16/2020 20:14:19"/>
            <filter val="10/13/2020 19:09:59"/>
            <filter val="10/22/2020 7:33:49"/>
            <filter val="10/25/2020 19:48:13"/>
            <filter val="10/25/2020 19:48:11"/>
            <filter val="10/18/2020 7:33:22"/>
            <filter val="10/22/2020 7:45:20"/>
            <filter val="10/21/2020 8:55:03"/>
            <filter val="10/11/2020 19:14:17"/>
            <filter val="10/2/2020 19:35:54"/>
            <filter val="10/8/2020 19:33:44"/>
            <filter val="10/25/2020 19:36:24"/>
            <filter val="10/25/2020 19:48:07"/>
            <filter val="10/19/2020 19:43:59"/>
            <filter val="10/1/2020 19:47:37"/>
            <filter val="10/13/2020 7:59:11"/>
            <filter val="10/25/2020 19:48:05"/>
            <filter val="10/29/2020 19:54:47"/>
            <filter val="10/10/2020 19:44:27"/>
            <filter val="10/25/2020 19:48:09"/>
            <filter val="10/1/2020 19:47:32"/>
            <filter val="10/22/2020 7:33:57"/>
            <filter val="10/20/2020 7:31:36"/>
            <filter val="10/21/2020 7:55:25"/>
            <filter val="10/10/2020 19:44:24"/>
            <filter val="10/25/2020 19:55:25"/>
            <filter val="10/25/2020 19:48:02"/>
            <filter val="10/25/2020 19:48:00"/>
            <filter val="10/26/2020 19:46:30"/>
            <filter val="10/26/2020 18:48:09"/>
            <filter val="10/16/2020 20:36:22"/>
            <filter val="10/17/2020 19:54:12"/>
            <filter val="10/14/2020 19:20:56"/>
            <filter val="10/28/2020 19:46:14"/>
            <filter val="10/5/2020 7:33:29"/>
            <filter val="10/15/2020 7:18:56"/>
            <filter val="10/4/2020 7:57:30"/>
            <filter val="10/21/2020 19:47:55"/>
            <filter val="10/23/2020 7:28:08"/>
            <filter val="10/22/2020 7:45:48"/>
            <filter val="10/11/2020 19:12:54"/>
            <filter val="10/26/2020 6:06:48"/>
            <filter val="10/1/2020 19:50:18"/>
            <filter val="10/27/2020 19:34:50"/>
            <filter val="10/26/2020 18:58:39"/>
            <filter val="10/2/2020 8:31:38"/>
            <filter val="10/23/2020 19:45:16"/>
            <filter val="10/14/2020 19:56:51"/>
            <filter val="10/12/2020 18:13:28"/>
            <filter val="10/26/2020 19:36:05"/>
            <filter val="10/13/2020 7:47:31"/>
            <filter val="10/21/2020 7:33:27"/>
            <filter val="10/6/2020 8:03:30"/>
            <filter val="10/8/2020 19:13:19"/>
            <filter val="10/4/2020 19:45:58"/>
            <filter val="10/14/2020 7:41:05"/>
            <filter val="10/14/2020 7:41:03"/>
            <filter val="10/4/2020 7:55:21"/>
            <filter val="10/6/2020 19:57:58"/>
            <filter val="10/9/2020 19:35:18"/>
            <filter val="10/11/2020 19:24:05"/>
            <filter val="10/11/2020 7:47:08"/>
            <filter val="10/23/2020 19:47:03"/>
            <filter val="10/7/2020 19:33:56"/>
            <filter val="10/16/2020 19:44:22"/>
            <filter val="10/26/2020 19:34:38"/>
            <filter val="10/3/2020 19:47:34"/>
            <filter val="10/14/2020 20:01:03"/>
            <filter val="10/20/2020 18:12:58"/>
            <filter val="10/31/2020 19:48:02"/>
            <filter val="10/27/2020 19:34:05"/>
            <filter val="10/4/2020 7:55:15"/>
            <filter val="10/8/2020 19:35:50"/>
            <filter val="10/8/2020 19:35:51"/>
            <filter val="10/17/2020 19:54:31"/>
            <filter val="10/4/2020 7:55:14"/>
            <filter val="10/20/2020 7:33:34"/>
            <filter val="10/4/2020 7:55:19"/>
            <filter val="10/15/2020 19:22:26"/>
            <filter val="10/4/2020 7:55:17"/>
            <filter val="10/21/2020 9:01:03"/>
            <filter val="10/10/2020 7:35:00"/>
            <filter val="10/4/2020 7:55:18"/>
            <filter val="10/1/2020 19:27:11"/>
            <filter val="10/7/2020 17:12:44"/>
            <filter val="10/22/2020 5:02:32"/>
            <filter val="10/5/2020 22:49:14"/>
            <filter val="10/2/2020 19:37:29"/>
            <filter val="10/26/2020 5:29:50"/>
            <filter val="10/16/2020 20:12:31"/>
            <filter val="10/4/2020 7:55:32"/>
            <filter val="10/3/2020 7:43:05"/>
            <filter val="10/18/2020 19:21:42"/>
            <filter val="10/9/2020 8:17:24"/>
            <filter val="10/23/2020 4:49:58"/>
            <filter val="10/12/2020 18:13:04"/>
            <filter val="10/3/2020 19:47:15"/>
            <filter val="10/13/2020 19:10:31"/>
            <filter val="10/1/2020 19:49:24"/>
            <filter val="10/29/2020 7:45:22"/>
            <filter val="10/14/2020 20:01:16"/>
            <filter val="10/8/2020 7:49:35"/>
            <filter val="10/13/2020 19:32:47"/>
            <filter val="10/15/2020 10:48:32"/>
            <filter val="10/5/2020 7:47:15"/>
            <filter val="10/4/2020 7:43:54"/>
            <filter val="10/14/2020 7:28:39"/>
            <filter val="10/1/2020 20:04:35"/>
            <filter val="10/25/2020 8:39:17"/>
            <filter val="10/28/2020 19:44:21"/>
            <filter val="10/14/2020 19:22:48"/>
            <filter val="10/25/2020 7:28:22"/>
            <filter val="10/11/2020 19:34:48"/>
            <filter val="10/10/2020 19:56:27"/>
            <filter val="10/9/2020 8:40:50"/>
            <filter val="10/29/2020 20:01:55"/>
            <filter val="10/8/2020 19:47:19"/>
            <filter val="10/25/2020 20:01:58"/>
            <filter val="10/4/2020 7:55:41"/>
            <filter val="10/6/2020 7:59:01"/>
            <filter val="10/22/2020 7:47:19"/>
            <filter val="10/29/2020 7:35:07"/>
            <filter val="10/2/2020 7:08:16"/>
            <filter val="10/25/2020 8:50:52"/>
            <filter val="10/14/2020 19:56:06"/>
            <filter val="10/24/2020 8:05:23"/>
            <filter val="10/18/2020 19:54:23"/>
            <filter val="10/16/2020 20:34:45"/>
            <filter val="10/21/2020 7:35:12"/>
            <filter val="10/3/2020 7:21:06"/>
            <filter val="10/9/2020 7:28:42"/>
            <filter val="10/5/2020 7:47:02"/>
            <filter val="10/29/2020 7:35:05"/>
            <filter val="10/13/2020 16:12:21"/>
            <filter val="10/25/2020 19:34:47"/>
            <filter val="10/7/2020 7:04:30"/>
            <filter val="10/28/2020 17:57:05"/>
            <filter val="10/29/2020 7:35:03"/>
            <filter val="10/5/2020 8:33:51"/>
            <filter val="10/1/2020 19:59:22"/>
            <filter val="10/29/2020 7:45:40"/>
            <filter val="10/21/2020 7:45:45"/>
            <filter val="10/29/2020 7:35:18"/>
            <filter val="10/12/2020 7:47:36"/>
            <filter val="10/26/2020 19:00:43"/>
            <filter val="10/14/2020 7:38:46"/>
            <filter val="10/8/2020 7:50:35"/>
            <filter val="10/15/2020 7:28:54"/>
            <filter val="10/10/2020 19:46:14"/>
            <filter val="10/22/2020 7:35:45"/>
            <filter val="10/6/2020 3:37:47"/>
            <filter val="10/29/2020 7:35:14"/>
            <filter val="10/7/2020 6:26:46"/>
            <filter val="10/1/2020 19:59:32"/>
            <filter val="10/29/2020 7:35:11"/>
            <filter val="10/7/2020 7:15:26"/>
            <filter val="10/5/2020 7:36:47"/>
            <filter val="10/5/2020 8:31:05"/>
            <filter val="10/26/2020 5:28:55"/>
            <filter val="10/26/2020 7:26:52"/>
            <filter val="10/8/2020 19:14:21"/>
            <filter val="10/28/2020 7:28:33"/>
            <filter val="10/25/2020 7:37:57"/>
            <filter val="10/3/2020 19:20:23"/>
            <filter val="10/10/2020 19:40:49"/>
            <filter val="10/22/2020 19:37:22"/>
            <filter val="10/14/2020 19:59:10"/>
            <filter val="10/5/2020 7:48:34"/>
            <filter val="10/10/2020 7:24:33"/>
            <filter val="10/14/2020 7:51:10"/>
            <filter val="10/25/2020 8:31:43"/>
            <filter val="10/5/2020 7:48:38"/>
            <filter val="10/14/2020 7:27:15"/>
            <filter val="10/6/2020 7:50:01"/>
            <filter val="10/10/2020 19:40:41"/>
            <filter val="10/21/2020 7:46:40"/>
            <filter val="10/25/2020 19:33:56"/>
            <filter val="10/15/2020 19:24:07"/>
            <filter val="10/6/2020 17:06:31"/>
            <filter val="10/20/2020 7:47:07"/>
            <filter val="10/26/2020 19:20:56"/>
            <filter val="10/17/2020 9:14:56"/>
            <filter val="10/29/2020 20:19:01"/>
            <filter val="10/18/2020 8:01:07"/>
            <filter val="10/15/2020 19:58:02"/>
            <filter val="10/20/2020 7:01:06"/>
            <filter val="10/23/2020 7:25:37"/>
            <filter val="10/9/2020 19:37:09"/>
            <filter val="10/8/2020 19:48:31"/>
            <filter val="10/12/2020 7:48:25"/>
            <filter val="10/25/2020 19:45:23"/>
            <filter val="10/28/2020 19:54:20"/>
            <filter val="10/26/2020 18:50:51"/>
            <filter val="10/18/2020 19:20:33"/>
            <filter val="10/25/2020 7:50:14"/>
            <filter val="10/14/2020 19:59:20"/>
            <filter val="10/27/2020 19:31:41"/>
            <filter val="10/29/2020 20:05:55"/>
            <filter val="10/12/2020 19:39:09"/>
            <filter val="10/13/2020 7:50:17"/>
            <filter val="10/28/2020 17:56:26"/>
            <filter val="10/16/2020 20:11:30"/>
            <filter val="10/31/2020 19:48:50"/>
            <filter val="10/7/2020 7:26:52"/>
            <filter val="10/13/2020 16:11:16"/>
            <filter val="10/5/2020 7:36:24"/>
            <filter val="10/16/2020 15:50:37"/>
            <filter val="10/16/2020 15:49:44"/>
            <filter val="10/15/2020 7:38:30"/>
            <filter val="10/1/2020 19:58:06"/>
            <filter val="10/7/2020 6:35:01"/>
            <filter val="10/3/2020 19:07:38"/>
            <filter val="10/22/2020 19:47:58"/>
            <filter val="10/25/2020 20:00:49"/>
            <filter val="10/9/2020 7:50:49"/>
            <filter val="10/5/2020 21:47:18"/>
            <filter val="10/16/2020 7:29:10"/>
            <filter val="10/16/2020 19:23:25"/>
            <filter val="10/6/2020 7:49:01"/>
            <filter val="10/15/2020 17:48:47"/>
            <filter val="10/7/2020 7:03:23"/>
            <filter val="10/7/2020 19:49:59"/>
            <filter val="10/28/2020 19:42:51"/>
            <filter val="10/15/2020 12:13:06"/>
            <filter val="10/1/2020 19:58:11"/>
            <filter val="10/4/2020 7:59:58"/>
            <filter val="10/20/2020 21:21:41"/>
            <filter val="10/2/2020 19:55:33"/>
            <filter val="10/29/2020 20:20:18"/>
            <filter val="10/14/2020 7:50:06"/>
            <filter val="10/15/2020 19:56:44"/>
            <filter val="10/25/2020 19:45:02"/>
            <filter val="10/7/2020 17:07:12"/>
            <filter val="10/29/2020 7:29:51"/>
            <filter val="10/29/2020 7:29:54"/>
            <filter val="10/20/2020 7:45:45"/>
            <filter val="10/3/2020 19:20:56"/>
            <filter val="10/15/2020 15:38:39"/>
            <filter val="10/13/2020 7:50:31"/>
            <filter val="10/24/2020 19:47:34"/>
            <filter val="10/9/2020 19:47:21"/>
            <filter val="10/25/2020 17:14:29"/>
            <filter val="10/15/2020 19:34:30"/>
            <filter val="10/16/2020 20:33:24"/>
            <filter val="10/1/2020 20:01:23"/>
            <filter val="10/15/2020 7:28:13"/>
            <filter val="10/26/2020 18:49:47"/>
            <filter val="10/13/2020 7:49:50"/>
            <filter val="10/6/2020 7:39:15"/>
            <filter val="10/22/2020 5:05:13"/>
            <filter val="10/14/2020 19:25:43"/>
            <filter val="10/13/2020 7:40:14"/>
            <filter val="10/9/2020 7:50:29"/>
            <filter val="10/26/2020 5:28:15"/>
            <filter val="10/22/2020 7:37:34"/>
            <filter val="10/17/2020 8:36:05"/>
            <filter val="10/9/2020 19:37:39"/>
            <filter val="10/3/2020 19:44:37"/>
            <filter val="10/14/2020 7:51:51"/>
            <filter val="10/1/2020 19:46:42"/>
            <filter val="10/27/2020 7:42:07"/>
            <filter val="10/5/2020 7:26:47"/>
            <filter val="10/29/2020 19:43:13"/>
            <filter val="10/18/2020 19:55:54"/>
            <filter val="10/16/2020 19:47:19"/>
            <filter val="10/14/2020 7:51:56"/>
            <filter val="10/21/2020 8:53:39"/>
            <filter val="10/18/2020 19:07:18"/>
            <filter val="10/10/2020 7:02:47"/>
            <filter val="10/14/2020 7:37:28"/>
            <filter val="10/4/2020 19:43:41"/>
            <filter val="10/2/2020 19:57:17"/>
            <filter val="10/16/2020 19:57:54"/>
            <filter val="10/7/2020 17:15:54"/>
            <filter val="10/6/2020 7:39:05"/>
            <filter val="10/29/2020 19:53:41"/>
            <filter val="10/22/2020 19:50:37"/>
            <filter val="10/29/2020 7:42:30"/>
            <filter val="10/8/2020 19:38:22"/>
            <filter val="10/21/2020 19:48:41"/>
            <filter val="10/19/2020 19:41:29"/>
            <filter val="10/3/2020 19:07:01"/>
            <filter val="10/10/2020 19:42:37"/>
            <filter val="10/17/2020 19:46:10"/>
            <filter val="10/10/2020 19:42:38"/>
            <filter val="10/9/2020 19:50:19"/>
            <filter val="10/1/2020 19:46:31"/>
            <filter val="10/25/2020 19:33:09"/>
            <filter val="10/6/2020 7:50:54"/>
            <filter val="10/14/2020 19:57:42"/>
            <filter val="10/1/2020 20:01:45"/>
            <filter val="10/12/2020 7:51:20"/>
            <filter val="10/8/2020 19:04:02"/>
            <filter val="10/3/2020 19:56:04"/>
            <filter val="10/11/2020 7:50:16"/>
            <filter val="10/14/2020 7:53:09"/>
            <filter val="10/4/2020 7:57:48"/>
            <filter val="10/22/2020 19:39:10"/>
            <filter val="10/6/2020 19:48:45"/>
            <filter val="10/4/2020 7:59:02"/>
            <filter val="10/6/2020 3:30:14"/>
            <filter val="10/22/2020 19:50:22"/>
            <filter val="10/9/2020 20:51:15"/>
            <filter val="10/22/2020 7:49:37"/>
            <filter val="10/22/2020 18:54:52"/>
            <filter val="10/23/2020 7:23:23"/>
            <filter val="10/2/2020 18:51:51"/>
            <filter val="10/14/2020 19:57:58"/>
            <filter val="10/25/2020 7:37:38"/>
            <filter val="10/3/2020 7:46:33"/>
            <filter val="10/14/2020 7:37:09"/>
            <filter val="10/6/2020 7:49:46"/>
            <filter val="10/9/2020 7:49:25"/>
            <filter val="10/28/2020 7:41:35"/>
            <filter val="10/9/2020 19:47:59"/>
            <filter val="10/15/2020 14:55:24"/>
            <filter val="10/26/2020 7:38:51"/>
            <filter val="10/18/2020 19:57:16"/>
            <filter val="10/25/2020 19:43:29"/>
            <filter val="10/9/2020 7:15:35"/>
            <filter val="10/11/2020 7:37:34"/>
            <filter val="10/5/2020 8:31:37"/>
            <filter val="10/20/2020 19:39:01"/>
            <filter val="10/13/2020 16:08:54"/>
            <filter val="10/5/2020 7:38:14"/>
            <filter val="10/22/2020 19:49:29"/>
            <filter val="10/13/2020 19:36:20"/>
            <filter val="10/16/2020 15:47:50"/>
            <filter val="10/23/2020 19:48:49"/>
            <filter val="10/24/2020 19:20:56"/>
            <filter val="10/18/2020 19:57:28"/>
            <filter val="10/17/2020 19:46:30"/>
            <filter val="10/29/2020 20:03:55"/>
            <filter val="10/2/2020 19:45:27"/>
            <filter val="10/13/2020 7:52:15"/>
            <filter val="10/7/2020 7:01:36"/>
            <filter val="10/5/2020 7:48:48"/>
            <filter val="10/21/2020 7:48:31"/>
            <filter val="10/20/2020 7:35:42"/>
            <filter val="10/27/2020 8:01:13"/>
            <filter val="10/22/2020 19:37:50"/>
            <filter val="10/26/2020 7:28:05"/>
            <filter val="10/5/2020 7:48:40"/>
            <filter val="10/1/2020 19:30:59"/>
            <filter val="10/17/2020 8:14:11"/>
            <filter val="10/20/2020 7:50:07"/>
            <filter val="10/9/2020 7:59:48"/>
            <filter val="10/16/2020 19:47:50"/>
            <filter val="10/25/2020 19:43:11"/>
            <filter val="10/7/2020 6:31:18"/>
            <filter val="10/3/2020 7:26:46"/>
            <filter val="10/24/2020 19:49:29"/>
            <filter val="10/6/2020 7:52:27"/>
            <filter val="10/21/2020 7:26:32"/>
            <filter val="10/14/2020 7:35:47"/>
            <filter val="10/13/2020 7:52:46"/>
            <filter val="10/6/2020 3:34:02"/>
            <filter val="10/2/2020 19:53:17"/>
            <filter val="10/9/2020 19:50:40"/>
            <filter val="10/13/2020 8:34:23"/>
            <filter val="10/18/2020 19:57:37"/>
            <filter val="10/22/2020 19:52:14"/>
            <filter val="10/8/2020 19:04:53"/>
            <filter val="10/3/2020 19:39:55"/>
            <filter val="10/22/2020 7:39:25"/>
            <filter val="10/7/2020 8:01:00"/>
            <filter val="10/26/2020 18:54:12"/>
            <filter val="10/16/2020 19:49:02"/>
            <filter val="10/6/2020 7:52:44"/>
            <filter val="10/24/2020 7:58:16"/>
            <filter val="10/23/2020 7:33:42"/>
            <filter val="10/26/2020 7:36:02"/>
            <filter val="10/26/2020 19:52:52"/>
            <filter val="10/8/2020 7:54:19"/>
            <filter val="10/24/2020 18:49:46"/>
            <filter val="10/5/2020 7:51:24"/>
            <filter val="10/16/2020 19:49:06"/>
            <filter val="10/21/2020 7:51:14"/>
            <filter val="10/22/2020 18:54:09"/>
            <filter val="10/18/2020 19:57:44"/>
            <filter val="10/6/2020 19:41:56"/>
            <filter val="10/9/2020 8:01:41"/>
            <filter val="10/9/2020 7:47:58"/>
            <filter val="10/4/2020 7:39:37"/>
            <filter val="10/14/2020 20:04:42"/>
            <filter val="10/3/2020 19:52:03"/>
            <filter val="10/26/2020 19:20:04"/>
            <filter val="10/16/2020 15:52:58"/>
            <filter val="10/17/2020 9:14:01"/>
            <filter val="10/28/2020 7:26:39"/>
            <filter val="10/2/2020 23:10:41"/>
            <filter val="10/7/2020 19:30:40"/>
            <filter val="10/29/2020 8:07:24"/>
            <filter val="10/12/2020 7:51:30"/>
            <filter val="10/15/2020 7:26:05"/>
            <filter val="10/14/2020 4:33:40"/>
            <filter val="10/29/2020 20:09:02"/>
            <filter val="10/9/2020 8:01:52"/>
            <filter val="10/15/2020 7:46:55"/>
            <filter val="10/6/2020 19:43:21"/>
            <filter val="10/23/2020 7:21:53"/>
            <filter val="10/9/2020 7:59:11"/>
            <filter val="10/5/2020 7:38:55"/>
            <filter val="10/28/2020 8:14:30"/>
            <filter val="10/25/2020 8:47:16"/>
            <filter val="10/25/2020 8:35:32"/>
            <filter val="10/27/2020 13:18:15"/>
            <filter val="10/28/2020 7:48:39"/>
            <filter val="10/6/2020 7:30:10"/>
            <filter val="10/13/2020 7:52:51"/>
            <filter val="10/22/2020 7:39:41"/>
            <filter val="10/15/2020 19:14:49"/>
            <filter val="10/26/2020 7:34:44"/>
            <filter val="10/21/2020 19:53:51"/>
            <filter val="10/5/2020 7:51:02"/>
            <filter val="10/22/2020 19:40:11"/>
            <filter val="10/8/2020 19:38:54"/>
            <filter val="10/27/2020 7:59:06"/>
            <filter val="10/13/2020 19:41:14"/>
            <filter val="10/16/2020 19:59:22"/>
            <filter val="10/4/2020 7:52:14"/>
            <filter val="10/1/2020 19:56:00"/>
            <filter val="10/3/2020 19:52:26"/>
            <filter val="10/17/2020 19:36:44"/>
            <filter val="10/11/2020 7:40:59"/>
            <filter val="10/6/2020 3:32:14"/>
            <filter val="10/17/2020 19:36:48"/>
            <filter val="10/24/2020 19:27:40"/>
            <filter val="10/2/2020 19:08:19"/>
            <filter val="10/5/2020 7:53:22"/>
            <filter val="10/28/2020 19:50:18"/>
            <filter val="10/9/2020 7:59:08"/>
            <filter val="10/29/2020 7:40:21"/>
            <filter val="10/27/2020 18:16:34"/>
            <filter val="10/6/2020 7:54:09"/>
            <filter val="10/20/2020 7:49:55"/>
            <filter val="10/28/2020 19:39:52"/>
            <filter val="10/3/2020 19:19:03"/>
            <filter val="10/4/2020 7:49:20"/>
            <filter val="10/12/2020 7:53:39"/>
            <filter val="10/28/2020 19:49:24"/>
            <filter val="10/20/2020 8:15:25"/>
            <filter val="10/27/2020 19:51:08"/>
            <filter val="10/21/2020 7:38:54"/>
            <filter val="10/2/2020 7:37:08"/>
            <filter val="10/22/2020 7:40:58"/>
            <filter val="10/6/2020 7:30:31"/>
            <filter val="10/3/2020 19:09:24"/>
            <filter val="10/6/2020 19:53:24"/>
            <filter val="10/11/2020 7:42:02"/>
            <filter val="10/23/2020 19:41:32"/>
            <filter val="10/27/2020 19:38:39"/>
            <filter val="10/6/2020 19:41:18"/>
            <filter val="10/5/2020 7:53:06"/>
            <filter val="10/16/2020 19:50:34"/>
            <filter val="10/26/2020 7:36:43"/>
            <filter val="10/8/2020 8:22:44"/>
            <filter val="10/3/2020 19:10:04"/>
            <filter val="10/17/2020 19:36:50"/>
            <filter val="10/13/2020 16:18:39"/>
            <filter val="10/9/2020 19:39:36"/>
            <filter val="10/24/2020 7:44:20"/>
            <filter val="10/9/2020 19:39:35"/>
            <filter val="10/6/2020 19:51:56"/>
            <filter val="10/9/2020 19:39:39"/>
            <filter val="10/7/2020 19:29:50"/>
            <filter val="10/9/2020 19:39:38"/>
            <filter val="10/15/2020 19:51:05"/>
            <filter val="10/13/2020 19:38:54"/>
            <filter val="10/11/2020 7:29:03"/>
            <filter val="10/7/2020 6:55:09"/>
            <filter val="10/27/2020 18:16:59"/>
            <filter val="10/16/2020 19:50:07"/>
            <filter val="10/19/2020 18:38:13"/>
            <filter val="10/12/2020 7:53:14"/>
            <filter val="10/14/2020 7:33:46"/>
            <filter val="10/23/2020 19:18:17"/>
            <filter val="10/18/2020 19:49:21"/>
            <filter val="10/9/2020 8:01:13"/>
            <filter val="10/9/2020 19:52:02"/>
            <filter val="10/20/2020 7:50:39"/>
            <filter val="10/16/2020 19:59:55"/>
            <filter val="10/9/2020 19:39:43"/>
            <filter val="10/27/2020 8:03:21"/>
            <filter val="10/9/2020 19:39:40"/>
            <filter val="10/18/2020 19:15:11"/>
            <filter val="10/23/2020 19:51:51"/>
            <filter val="10/25/2020 19:41:04"/>
            <filter val="10/10/2020 7:38:47"/>
            <filter val="10/15/2020 7:24:19"/>
            <filter val="10/22/2020 19:52:34"/>
            <filter val="10/2/2020 19:53:52"/>
            <filter val="10/18/2020 19:59:41"/>
            <filter val="10/26/2020 19:39:34"/>
            <filter val="10/18/2020 7:50:47"/>
            <filter val="10/8/2020 19:51:42"/>
            <filter val="10/23/2020 15:53:49"/>
            <filter val="10/4/2020 20:22:03"/>
            <filter val="10/14/2020 7:33:31"/>
            <filter val="10/24/2020 7:56:16"/>
            <filter val="10/7/2020 17:07:56"/>
            <filter val="10/6/2020 7:30:52"/>
            <filter val="10/12/2020 19:40:18"/>
            <filter val="10/25/2020 7:57:28"/>
            <filter val="10/17/2020 19:48:54"/>
            <filter val="10/7/2020 8:21:10"/>
            <filter val="10/28/2020 19:39:22"/>
            <filter val="10/7/2020 19:40:52"/>
            <filter val="10/12/2020 7:53:20"/>
            <filter val="10/27/2020 7:37:39"/>
            <filter val="10/5/2020 8:18:07"/>
            <filter val="10/8/2020 7:44:43"/>
            <filter val="10/4/2020 7:50:35"/>
            <filter val="10/10/2020 7:51:00"/>
            <filter val="10/28/2020 7:38:44"/>
          </filters>
        </filterColumn>
        <filterColumn colId="15">
          <filters blank="1">
            <filter val="10/17/2020"/>
            <filter val="10/3/2020"/>
            <filter val="10/25/2020"/>
            <filter val="10/22/2020"/>
            <filter val="10/9/2020"/>
            <filter val="10/11/2020"/>
            <filter val="10/14/2020"/>
            <filter val="10/6/2020"/>
            <filter val="10/13/2020"/>
            <filter val="10/28/2020"/>
            <filter val="10/7/2020"/>
            <filter val="10/10/2020"/>
            <filter val="10/21/2020"/>
            <filter val="10/24/2020"/>
            <filter val="10/4/2020"/>
            <filter val="10/16/2020"/>
            <filter val="10/1/2020"/>
            <filter val="11/1/2020"/>
            <filter val="10/27/2020"/>
            <filter val="10/19/2020"/>
            <filter val="10/8/2020"/>
            <filter val="10/29/2020"/>
            <filter val="10/26/2020"/>
            <filter val="10/5/2020"/>
            <filter val="10/20/2020"/>
            <filter val="10/12/2020"/>
            <filter val="10/15/2020"/>
            <filter val="10/23/2020"/>
            <filter val="10/18/2020"/>
            <filter val="10/31/2020"/>
            <filter val="10/2/2020"/>
          </filters>
        </filterColumn>
        <sortState ref="A1:Z1466">
          <sortCondition ref="S1:S1466"/>
        </sortState>
      </autoFilter>
    </customSheetView>
    <customSheetView guid="{2B3986B1-889A-4C0B-AD94-734B8E051243}" filter="1" showAutoFilter="1">
      <autoFilter ref="$A$1:$Z$1466">
        <filterColumn colId="15">
          <filters blank="1">
            <filter val="10/17/2020"/>
            <filter val="10/3/2020"/>
            <filter val="10/25/2020"/>
            <filter val="10/22/2020"/>
            <filter val="10/9/2020"/>
            <filter val="10/11/2020"/>
            <filter val="10/14/2020"/>
            <filter val="10/6/2020"/>
            <filter val="10/13/2020"/>
            <filter val="10/28/2020"/>
            <filter val="10/7/2020"/>
            <filter val="10/10/2020"/>
            <filter val="10/21/2020"/>
            <filter val="10/24/2020"/>
            <filter val="10/4/2020"/>
            <filter val="10/16/2020"/>
            <filter val="10/1/2020"/>
            <filter val="11/1/2020"/>
            <filter val="10/27/2020"/>
            <filter val="10/19/2020"/>
            <filter val="10/8/2020"/>
            <filter val="10/29/2020"/>
            <filter val="10/26/2020"/>
            <filter val="10/5/2020"/>
            <filter val="10/20/2020"/>
            <filter val="10/12/2020"/>
            <filter val="10/15/2020"/>
            <filter val="10/23/2020"/>
            <filter val="10/18/2020"/>
            <filter val="10/31/2020"/>
            <filter val="10/2/2020"/>
          </filters>
        </filterColumn>
        <sortState ref="A1:Z1466">
          <sortCondition descending="1" ref="S1:S1466"/>
        </sortState>
      </autoFilter>
    </customSheetView>
    <customSheetView guid="{FE9D95DF-F076-41C7-A09F-7C590E915E1F}" filter="1" showAutoFilter="1">
      <autoFilter ref="$A$1:$Z$1466">
        <filterColumn colId="1">
          <filters blank="1">
            <filter val="Смена 2 (20:00 - 8:00)"/>
            <filter val="Смена 2 (8:00 - 20:00)"/>
          </filters>
        </filterColumn>
        <filterColumn colId="3">
          <filters blank="1">
            <filter val="SMT"/>
          </filters>
        </filterColumn>
        <filterColumn colId="18">
          <filters>
            <filter val="Кезерев Виталий Романович"/>
            <filter val="Заславский Антон Игоревич"/>
            <filter val="Сергеев Алексей Андреевич"/>
            <filter val="Исаев Никита Дмитриевич"/>
            <filter val="Пономарев Юрий Андреевич"/>
            <filter val="Шилоносов Максим Евгеньевич"/>
            <filter val="Ельцов Андрей Николаевич"/>
            <filter val="ТНТ"/>
            <filter val="Белоглазова Виктория Сергеевна"/>
            <filter val="Шергин Родион Олегович"/>
            <filter val="Байрамашвили Альберт Зурабович"/>
            <filter val="Александрова Елена Сергеевна"/>
            <filter val="Муртищева Ольга Валентиновна"/>
            <filter val="Белоглазов Сергей Анатольевич"/>
            <filter val="Хохряков Илья Александрович"/>
            <filter val="Шапенков Геннадий Михайлович"/>
            <filter val="Аникина Раиса Владимировна"/>
            <filter val="Егоров Александр Александрович"/>
            <filter val="Александров Александр Викторович"/>
            <filter val="Стосик Степан Владимирович"/>
            <filter val="учётный код не найден"/>
          </filters>
        </filterColumn>
        <filterColumn colId="15">
          <filters blank="1">
            <filter val="10/17/2020"/>
            <filter val="10/3/2020"/>
            <filter val="10/25/2020"/>
            <filter val="10/22/2020"/>
            <filter val="10/9/2020"/>
            <filter val="10/11/2020"/>
            <filter val="10/14/2020"/>
            <filter val="10/6/2020"/>
            <filter val="10/13/2020"/>
            <filter val="10/28/2020"/>
            <filter val="10/7/2020"/>
            <filter val="10/10/2020"/>
            <filter val="10/21/2020"/>
            <filter val="10/24/2020"/>
            <filter val="10/4/2020"/>
            <filter val="10/16/2020"/>
            <filter val="10/1/2020"/>
            <filter val="11/1/2020"/>
            <filter val="10/27/2020"/>
            <filter val="10/19/2020"/>
            <filter val="10/8/2020"/>
            <filter val="10/29/2020"/>
            <filter val="10/26/2020"/>
            <filter val="10/5/2020"/>
            <filter val="10/20/2020"/>
            <filter val="10/12/2020"/>
            <filter val="10/15/2020"/>
            <filter val="10/23/2020"/>
            <filter val="10/18/2020"/>
            <filter val="10/31/2020"/>
            <filter val="10/2/2020"/>
          </filters>
        </filterColumn>
        <filterColumn colId="17">
          <filters blank="1">
            <filter val="Создание программы для AOI PRI"/>
            <filter val="Настройка линии Primary"/>
            <filter val="Сканирование заготовок (&quot;Завершение стадии&quot;)"/>
            <filter val="Написание программы для SEHO PRI"/>
            <filter val="Установка компонентов вручную"/>
            <filter val="Настройка установщиков"/>
            <filter val="Занесение в Aegis"/>
            <filter val="Подготовка компонентов к пайке"/>
            <filter val="Пайка компонентов SEC"/>
            <filter val="Обучение"/>
            <filter val="Сортировка"/>
            <filter val="Настройка SEHO PRI"/>
            <filter val="Внутрисхемное тестирование ICT"/>
            <filter val="Проверка программы на АОИ SEC"/>
            <filter val="Уборка линии"/>
            <filter val="Настойка первой платы на АОИ SEC"/>
            <filter val="Отладка программы"/>
            <filter val="Проверка на АОИ PRI"/>
            <filter val="Формовка компонетов"/>
            <filter val="Зарядка питателей Sec"/>
            <filter val="Маркировка плат"/>
            <filter val="Написание программы для АОИ PRI"/>
            <filter val="Отладка программы на AOI SEC"/>
            <filter val="Настройка MODUS"/>
            <filter val="Настойка первой платы на АОИ"/>
            <filter val="Установка винтов"/>
            <filter val="Разрядка питателей Prim"/>
            <filter val="Установка компонентов  на платы (ручная) SEC"/>
            <filter val="Зарядка питателей Prim"/>
            <filter val="Создание программы для NPM"/>
            <filter val="Верификация компонентов на линию"/>
            <filter val="Сборка на линии Sec"/>
            <filter val="Написание инструкции"/>
            <filter val="Настройка принтера Sec"/>
            <filter val="Проверка на АОИ SEC"/>
            <filter val="Разрядка питателей Sec"/>
            <filter val="Подготовка компонентов к зарядке"/>
            <filter val="Проверка программы на АОИ"/>
            <filter val="Настройка линии Secondary"/>
            <filter val="Верификация заказа Waggon (после сборки)"/>
            <filter val="Установка компонентов  на платы (ручная) PRI"/>
            <filter val="Проверка участка после смены"/>
            <filter val="ReviewStation sec"/>
            <filter val="Настойка первой платы на АОИ PRI"/>
            <filter val="Выполнение технологических задач"/>
            <filter val="Проверка программы на АОИ PRI"/>
            <filter val="Проверка первой платы до оплавления"/>
            <filter val="Организационные работы"/>
            <filter val="Проведение обучения"/>
            <filter val="Написание программы для SEHO SEC"/>
            <filter val="Создание программы для AOI SEC"/>
            <filter val="Нанесение пасты"/>
            <filter val="Прохождение обучения"/>
            <filter val="Пайка компонентов PRI"/>
            <filter val="Сборка на линии Prim"/>
            <filter val="Настройка треев"/>
            <filter val="Отладка программы на AOI PRI"/>
            <filter val="Настройка SEHO SEC"/>
            <filter val="Написание программы для АОИ SEC"/>
            <filter val="Выполнение дополнительных работ на линии"/>
            <filter val="Настройка линии"/>
            <filter val="Настройка принтера Pri"/>
            <filter val="Проверка первой платы после пайки"/>
          </filters>
        </filterColumn>
      </autoFilter>
    </customSheetView>
    <customSheetView guid="{3596EB0D-0185-4676-8377-18DFA9F26B76}" filter="1" showAutoFilter="1">
      <autoFilter ref="$A$1:$Z$1466">
        <filterColumn colId="18">
          <filters>
            <filter val="Заславский Антон Игоревич"/>
            <filter val="Шилоносов Максим Евгеньевич"/>
            <filter val="Белоглазова Виктория Сергеевна"/>
            <filter val="учётный код не найден"/>
          </filters>
        </filterColumn>
      </autoFilter>
    </customSheetView>
    <customSheetView guid="{3E9806ED-A2C4-47FC-9EE0-4871777297F8}" filter="1" showAutoFilter="1">
      <autoFilter ref="$T$1473"/>
    </customSheetView>
    <customSheetView guid="{0F8EA79D-3557-456C-BDC5-6100EF744E32}" filter="1" showAutoFilter="1">
      <autoFilter ref="$T$1473"/>
    </customSheetView>
    <customSheetView guid="{57404B24-6EB0-4D52-A6C8-1BC44FD36F91}" filter="1" showAutoFilter="1">
      <autoFilter ref="$A$1:$Z$1820">
        <filterColumn colId="18">
          <filters>
            <filter val="Заславский Антон Игоревич"/>
            <filter val="Щепочкин Максим Михайлович"/>
            <filter val="Исаев Никита Дмитриевич"/>
            <filter val="Шевель Вадим Вячеславович"/>
            <filter val="Шилоносов Максим Евгеньевич"/>
            <filter val="учётный код не найден"/>
          </filters>
        </filterColumn>
      </autoFilter>
    </customSheetView>
    <customSheetView guid="{2EE7B9A8-1648-451A-BFAB-E2C870E05AC9}" filter="1" showAutoFilter="1">
      <autoFilter ref="$A$1:$Z$1820">
        <filterColumn colId="1">
          <filters blank="1">
            <filter val="Смена 1 (20:00 - 8:00)"/>
            <filter val="Смена 2 (20:00 - 8:00)"/>
            <filter val="Смена 1 (8:00 - 20:00)"/>
            <filter val="Смена 3 (8:00 - 20:00)"/>
            <filter val="Смена 3 (20:00 - 8:00)"/>
            <filter val="Смена 4 (20:00 - 8:00)"/>
            <filter val="Смена 4 (8:00 - 20:00)"/>
          </filters>
        </filterColumn>
        <filterColumn colId="3">
          <filters blank="1">
            <filter val="THT"/>
          </filters>
        </filterColumn>
        <filterColumn colId="15">
          <filters>
            <filter val="10/17/2020"/>
            <filter val="10/3/2020"/>
            <filter val="10/25/2020"/>
            <filter val="10/22/2020"/>
            <filter val="10/9/2020"/>
            <filter val="10/11/2020"/>
            <filter val="10/14/2020"/>
            <filter val="10/6/2020"/>
            <filter val="10/30/2020"/>
            <filter val="10/13/2020"/>
            <filter val="10/28/2020"/>
            <filter val="10/7/2020"/>
            <filter val="10/10/2020"/>
            <filter val="10/21/2020"/>
            <filter val="10/24/2020"/>
            <filter val="10/4/2020"/>
            <filter val="10/16/2020"/>
            <filter val="10/1/2020"/>
            <filter val="11/1/2020"/>
            <filter val="10/27/2020"/>
            <filter val="10/19/2020"/>
            <filter val="10/8/2020"/>
            <filter val="10/29/2020"/>
            <filter val="10/26/2020"/>
            <filter val="10/5/2020"/>
            <filter val="10/20/2020"/>
            <filter val="10/12/2020"/>
            <filter val="10/15/2020"/>
            <filter val="10/23/2020"/>
            <filter val="10/18/2020"/>
            <filter val="10/31/2020"/>
            <filter val="10/2/2020"/>
            <filter val="11/2/2020"/>
          </filters>
        </filterColumn>
      </autoFilter>
    </customSheetView>
    <customSheetView guid="{666CFF2C-77C0-4D59-B356-E85D3D3F2940}" filter="1" showAutoFilter="1">
      <autoFilter ref="$A$1:$Z$1820">
        <filterColumn colId="15">
          <filters>
            <filter val="10/17/2020"/>
            <filter val="10/3/2020"/>
            <filter val="10/25/2020"/>
            <filter val="10/22/2020"/>
            <filter val="10/9/2020"/>
            <filter val="10/11/2020"/>
            <filter val="10/14/2020"/>
            <filter val="10/6/2020"/>
            <filter val="10/30/2020"/>
            <filter val="10/13/2020"/>
            <filter val="10/28/2020"/>
            <filter val="10/7/2020"/>
            <filter val="10/10/2020"/>
            <filter val="10/21/2020"/>
            <filter val="10/24/2020"/>
            <filter val="10/4/2020"/>
            <filter val="10/16/2020"/>
            <filter val="10/1/2020"/>
            <filter val="11/1/2020"/>
            <filter val="10/27/2020"/>
            <filter val="10/19/2020"/>
            <filter val="10/8/2020"/>
            <filter val="10/29/2020"/>
            <filter val="10/26/2020"/>
            <filter val="10/5/2020"/>
            <filter val="10/20/2020"/>
            <filter val="10/12/2020"/>
            <filter val="10/15/2020"/>
            <filter val="10/23/2020"/>
            <filter val="10/18/2020"/>
            <filter val="10/31/2020"/>
            <filter val="10/2/2020"/>
            <filter val="11/2/2020"/>
          </filters>
        </filterColumn>
        <sortState ref="A1:Z1820">
          <sortCondition ref="S1:S1820"/>
        </sortState>
      </autoFilter>
    </customSheetView>
    <customSheetView guid="{047E393D-6AB2-4327-AE74-57A82718779F}" filter="1" showAutoFilter="1">
      <autoFilter ref="$A$1:$Z$1820">
        <filterColumn colId="17">
          <filters>
            <filter val="Зарядка питателей Sec"/>
            <filter val="Отладка программы на AOI SEC"/>
            <filter val="Настройка MODUS"/>
            <filter val="Установка винтов"/>
            <filter val="Наращивание комплектации"/>
            <filter val="Проверка участка после смены"/>
            <filter val="Создание программы для AOI SEC"/>
            <filter val="Сборка на линии Prim"/>
            <filter val="Отладка программы на AOI PRI"/>
            <filter val="Настройка линии"/>
            <filter val="Настройка принтера Pri"/>
          </filters>
        </filterColumn>
        <filterColumn colId="20">
          <filters blank="1">
            <filter val="908"/>
            <filter val="1340"/>
            <filter val="472"/>
            <filter val="110"/>
            <filter val="2304"/>
            <filter val="112"/>
            <filter val="114"/>
            <filter val="115"/>
            <filter val="2664"/>
            <filter val="116"/>
            <filter val="2300"/>
            <filter val="3630"/>
            <filter val="10"/>
            <filter val="11"/>
            <filter val="12"/>
            <filter val="13"/>
            <filter val="15"/>
            <filter val="16"/>
            <filter val="17"/>
            <filter val="18"/>
            <filter val="19"/>
            <filter val="480"/>
            <filter val="120"/>
            <filter val="1"/>
            <filter val="2"/>
            <filter val="3"/>
            <filter val="124"/>
            <filter val="487"/>
            <filter val="4"/>
            <filter val="5"/>
            <filter val="6"/>
            <filter val="128"/>
            <filter val="7"/>
            <filter val="2552"/>
            <filter val="8"/>
            <filter val="800"/>
            <filter val="9"/>
            <filter val="20"/>
            <filter val="21"/>
            <filter val="22"/>
            <filter val="23"/>
            <filter val="24"/>
            <filter val="6012"/>
            <filter val="25"/>
            <filter val="26"/>
            <filter val="8798"/>
            <filter val="27"/>
            <filter val="28"/>
            <filter val="29"/>
            <filter val="1484"/>
            <filter val="371"/>
            <filter val="134"/>
            <filter val="256"/>
            <filter val="258"/>
            <filter val="138"/>
            <filter val="930"/>
            <filter val="6008"/>
            <filter val="30"/>
            <filter val="31"/>
            <filter val="32"/>
            <filter val="33"/>
            <filter val="34"/>
            <filter val="35"/>
            <filter val="36"/>
            <filter val="38"/>
            <filter val="3671"/>
            <filter val="39"/>
            <filter val="4520"/>
            <filter val="260"/>
            <filter val="140"/>
            <filter val="382"/>
            <filter val="261"/>
            <filter val="1800"/>
            <filter val="144"/>
            <filter val="1247"/>
            <filter val="1488"/>
            <filter val="149"/>
            <filter val="820"/>
            <filter val="1001"/>
            <filter val="40"/>
            <filter val="41"/>
            <filter val="42"/>
            <filter val="6936"/>
            <filter val="44"/>
            <filter val="45"/>
            <filter val="46"/>
            <filter val="47"/>
            <filter val="48"/>
            <filter val="49"/>
            <filter val="5740"/>
            <filter val="1141"/>
            <filter val="1140"/>
            <filter val="2350"/>
            <filter val="150"/>
            <filter val="1260"/>
            <filter val="272"/>
            <filter val="273"/>
            <filter val="153"/>
            <filter val="275"/>
            <filter val="276"/>
            <filter val="156"/>
            <filter val="50"/>
            <filter val="51"/>
            <filter val="839"/>
            <filter val="54"/>
            <filter val="55"/>
            <filter val="56"/>
            <filter val="280"/>
            <filter val="160"/>
            <filter val="161"/>
            <filter val="162"/>
            <filter val="288"/>
            <filter val="1148"/>
            <filter val="844"/>
            <filter val="60"/>
            <filter val="5745"/>
            <filter val="62"/>
            <filter val="64"/>
            <filter val="65"/>
            <filter val="66"/>
            <filter val="68"/>
            <filter val="5088"/>
            <filter val="9324"/>
            <filter val="5082"/>
            <filter val="296"/>
            <filter val="297"/>
            <filter val="970"/>
            <filter val="850"/>
            <filter val="1036"/>
            <filter val="1276"/>
            <filter val="70"/>
            <filter val="72"/>
            <filter val="75"/>
            <filter val="76"/>
            <filter val="180"/>
            <filter val="1053"/>
            <filter val="183"/>
            <filter val="500"/>
            <filter val="1960"/>
            <filter val="7703"/>
            <filter val="84"/>
            <filter val="86"/>
            <filter val="1604"/>
            <filter val="88"/>
            <filter val="196"/>
            <filter val="1060"/>
            <filter val="2268"/>
            <filter val="512"/>
            <filter val="90"/>
            <filter val="876"/>
            <filter val="515"/>
            <filter val="96"/>
            <filter val="8028"/>
            <filter val="6640"/>
            <filter val="880"/>
            <filter val="520"/>
            <filter val="400"/>
            <filter val="1860"/>
            <filter val="1980"/>
            <filter val="648"/>
            <filter val="15365"/>
            <filter val="2296"/>
            <filter val="1084"/>
            <filter val="771"/>
            <filter val="1755"/>
            <filter val="531"/>
            <filter val="655"/>
            <filter val="4104"/>
            <filter val="416"/>
            <filter val="664"/>
            <filter val="546"/>
            <filter val="548"/>
            <filter val="428"/>
            <filter val="2737"/>
            <filter val="671"/>
            <filter val="672"/>
            <filter val="1777"/>
            <filter val="1896"/>
            <filter val="1894"/>
            <filter val="556"/>
            <filter val="799"/>
            <filter val="4004"/>
            <filter val="319"/>
            <filter val="560"/>
            <filter val="320"/>
            <filter val="200"/>
            <filter val="564"/>
            <filter val="444"/>
            <filter val="1300"/>
            <filter val="446"/>
            <filter val="1.5"/>
            <filter val="328"/>
            <filter val="1308"/>
            <filter val="216"/>
            <filter val="339"/>
            <filter val="3857"/>
            <filter val="15696"/>
            <filter val="581"/>
            <filter val="340"/>
            <filter val="220"/>
            <filter val="100"/>
            <filter val="584"/>
            <filter val="1446"/>
            <filter val="102"/>
            <filter val="106"/>
            <filter val="900"/>
            <filter val="108"/>
            <filter val="3743"/>
            <filter val="4835"/>
          </filters>
        </filterColumn>
      </autoFilter>
    </customSheetView>
    <customSheetView guid="{64A6BCBB-5286-43FA-93AC-8F42641ED3C1}" filter="1" showAutoFilter="1">
      <autoFilter ref="$A$1:$Z$1820"/>
    </customSheetView>
    <customSheetView guid="{C49B6275-1FB8-4311-9ABF-297EFB1380C0}" filter="1" showAutoFilter="1">
      <autoFilter ref="$A$1:$Z$1820">
        <filterColumn colId="18">
          <filters>
            <filter val="Заславский Антон Игоревич"/>
            <filter val="Щепочкин Максим Михайлович"/>
            <filter val="Исаев Никита Дмитриевич"/>
            <filter val="Шевель Вадим Вячеславович"/>
            <filter val="учётный код не найден"/>
          </filters>
        </filterColumn>
      </autoFilter>
    </customSheetView>
    <customSheetView guid="{7E1C22E7-E871-4AC5-8E62-5D12CFBDA8FD}" filter="1" showAutoFilter="1">
      <autoFilter ref="$A$1:$Z$1820">
        <filterColumn colId="1">
          <filters>
            <filter val="Смена 3 (20:00 - 8:00)"/>
          </filters>
        </filterColumn>
        <filterColumn colId="18">
          <filters>
            <filter val="Савченко Виктория Андреевна"/>
            <filter val="Заславский Антон Игоревич"/>
            <filter val="Щепочкин Максим Михайлович"/>
            <filter val="Сергеев Алексей Андреевич"/>
            <filter val="Куликов Виктор Алексеевич"/>
            <filter val="Никонорова Наталия Владимировна"/>
            <filter val="Шевель Вадим Вячеславович"/>
            <filter val="Шилоносов Максим Евгеньевич"/>
            <filter val="Ельцов Андрей Николаевич"/>
            <filter val="ТНТ"/>
            <filter val="Анфалов Сергей Андреевич"/>
            <filter val="Шергин Родион Олегович"/>
            <filter val="Александрова Елена Сергеевна"/>
            <filter val="Муртищева Ольга Валентиновна"/>
            <filter val="Скибинский Антон Германович"/>
            <filter val="Белоглазов Сергей Анатольевич"/>
            <filter val="Хохряков Илья Александрович"/>
            <filter val="Шапенков Геннадий Михайлович"/>
            <filter val="Аникина Раиса Владимировна"/>
            <filter val="Александров Александр Викторович"/>
            <filter val="Стосик Степан Владимирович"/>
            <filter val="учётный код не найден"/>
          </filters>
        </filterColumn>
      </autoFilter>
    </customSheetView>
    <customSheetView guid="{5AB9FF17-74A5-4D38-8E8B-8740AE29E416}" filter="1" showAutoFilter="1">
      <autoFilter ref="$A$1:$Z$1820">
        <filterColumn colId="15">
          <filters>
            <filter val="10/17/2020"/>
            <filter val="10/3/2020"/>
            <filter val="10/25/2020"/>
            <filter val="10/22/2020"/>
            <filter val="10/9/2020"/>
            <filter val="10/11/2020"/>
            <filter val="10/14/2020"/>
            <filter val="10/6/2020"/>
            <filter val="10/30/2020"/>
            <filter val="10/13/2020"/>
            <filter val="10/28/2020"/>
            <filter val="10/7/2020"/>
            <filter val="10/10/2020"/>
            <filter val="10/21/2020"/>
            <filter val="10/24/2020"/>
            <filter val="10/4/2020"/>
            <filter val="10/16/2020"/>
            <filter val="10/1/2020"/>
            <filter val="11/1/2020"/>
            <filter val="10/27/2020"/>
            <filter val="10/19/2020"/>
            <filter val="10/8/2020"/>
            <filter val="10/29/2020"/>
            <filter val="10/26/2020"/>
            <filter val="10/5/2020"/>
            <filter val="10/20/2020"/>
            <filter val="10/12/2020"/>
            <filter val="10/15/2020"/>
            <filter val="10/23/2020"/>
            <filter val="10/18/2020"/>
            <filter val="10/31/2020"/>
            <filter val="10/2/2020"/>
            <filter val="11/2/2020"/>
          </filters>
        </filterColumn>
        <sortState ref="A1:Z1820">
          <sortCondition ref="S1:S1820"/>
          <sortCondition ref="G1:G1820"/>
          <sortCondition ref="R1:R1820"/>
        </sortState>
      </autoFilter>
    </customSheetView>
    <customSheetView guid="{E780316E-6B1B-4616-BEBC-E6D65D018C3F}" filter="1" showAutoFilter="1">
      <autoFilter ref="$A$1:$Z$1820">
        <filterColumn colId="15">
          <filters>
            <filter val="10/17/2020"/>
            <filter val="10/3/2020"/>
            <filter val="10/25/2020"/>
            <filter val="10/22/2020"/>
            <filter val="10/9/2020"/>
            <filter val="10/11/2020"/>
            <filter val="10/14/2020"/>
            <filter val="10/6/2020"/>
            <filter val="10/30/2020"/>
            <filter val="10/13/2020"/>
            <filter val="10/28/2020"/>
            <filter val="10/7/2020"/>
            <filter val="10/10/2020"/>
            <filter val="10/21/2020"/>
            <filter val="10/24/2020"/>
            <filter val="10/4/2020"/>
            <filter val="10/16/2020"/>
            <filter val="10/1/2020"/>
            <filter val="11/1/2020"/>
            <filter val="10/27/2020"/>
            <filter val="10/19/2020"/>
            <filter val="10/8/2020"/>
            <filter val="10/29/2020"/>
            <filter val="10/26/2020"/>
            <filter val="10/5/2020"/>
            <filter val="10/20/2020"/>
            <filter val="10/12/2020"/>
            <filter val="10/15/2020"/>
            <filter val="10/23/2020"/>
            <filter val="10/18/2020"/>
            <filter val="10/31/2020"/>
            <filter val="10/2/2020"/>
            <filter val="11/2/2020"/>
          </filters>
        </filterColumn>
        <sortState ref="A1:Z1820">
          <sortCondition ref="S1:S1820"/>
          <sortCondition ref="A1:A1820"/>
          <sortCondition ref="P1:P1820"/>
        </sortState>
      </autoFilter>
    </customSheetView>
    <customSheetView guid="{D4A55CA4-736F-4C1B-A489-4AD7EDA2802B}" filter="1" showAutoFilter="1">
      <autoFilter ref="$A$1:$Z$1820">
        <filterColumn colId="15">
          <filters>
            <filter val="10/17/2020"/>
            <filter val="10/3/2020"/>
            <filter val="10/25/2020"/>
            <filter val="10/22/2020"/>
            <filter val="10/9/2020"/>
            <filter val="10/11/2020"/>
            <filter val="10/14/2020"/>
            <filter val="10/6/2020"/>
            <filter val="10/30/2020"/>
            <filter val="10/13/2020"/>
            <filter val="10/28/2020"/>
            <filter val="10/7/2020"/>
            <filter val="10/10/2020"/>
            <filter val="10/21/2020"/>
            <filter val="10/24/2020"/>
            <filter val="10/4/2020"/>
            <filter val="10/16/2020"/>
            <filter val="10/1/2020"/>
            <filter val="11/1/2020"/>
            <filter val="10/27/2020"/>
            <filter val="10/19/2020"/>
            <filter val="10/8/2020"/>
            <filter val="10/29/2020"/>
            <filter val="10/26/2020"/>
            <filter val="10/5/2020"/>
            <filter val="10/20/2020"/>
            <filter val="10/12/2020"/>
            <filter val="10/15/2020"/>
            <filter val="10/23/2020"/>
            <filter val="10/18/2020"/>
            <filter val="10/31/2020"/>
            <filter val="10/2/2020"/>
            <filter val="11/2/2020"/>
          </filters>
        </filterColumn>
        <filterColumn colId="1">
          <filters blank="1">
            <filter val="Смена 2 (20:00 - 8:00)"/>
            <filter val="Смена 1 (8:00 - 20:00)"/>
            <filter val="Смена 3 (8:00 - 20:00)"/>
            <filter val="Смена 3 (20:00 - 8:00)"/>
            <filter val="Смена 4 (20:00 - 8:00)"/>
            <filter val="Смена 4 (8:00 - 20:00)"/>
            <filter val="Смена 2 (8:00 - 20:00)"/>
          </filters>
        </filterColumn>
        <sortState ref="A1:Z1820">
          <sortCondition ref="S1:S1820"/>
        </sortState>
      </autoFilter>
    </customSheetView>
    <customSheetView guid="{2A6D8C58-75E4-4E03-B4A8-481072913A17}" filter="1" showAutoFilter="1">
      <autoFilter ref="$A$1:$Z$1820">
        <filterColumn colId="6">
          <filters>
            <filter val="3266"/>
            <filter val="3420"/>
            <filter val="3584"/>
            <filter val="3240"/>
            <filter val="3580"/>
            <filter val="3261"/>
            <filter val="3538"/>
            <filter val="3715"/>
            <filter val="3237"/>
            <filter val="3412"/>
            <filter val="2785"/>
            <filter val="3234"/>
            <filter val="3754"/>
            <filter val="3778"/>
            <filter val="3734"/>
            <filter val="3714"/>
            <filter val="3637"/>
            <filter val="3793"/>
            <filter val="3750"/>
            <filter val="3253"/>
            <filter val="3252"/>
            <filter val="2580"/>
            <filter val="3804"/>
            <filter val="3622"/>
            <filter val="50000"/>
            <filter val="3621"/>
            <filter val="2796"/>
            <filter val="3047"/>
            <filter val="3421"/>
            <filter val="3762"/>
            <filter val="3664"/>
            <filter val="3667"/>
            <filter val="3802"/>
            <filter val="3769"/>
            <filter val="3747"/>
          </filters>
        </filterColumn>
      </autoFilter>
    </customSheetView>
    <customSheetView guid="{8F7B2374-E3C0-4667-9369-ECDA61D27531}" filter="1" showAutoFilter="1">
      <autoFilter ref="$A$1:$Z$1474">
        <filterColumn colId="1">
          <filters>
            <filter val="Смена 2 (20:00 - 8:00)"/>
            <filter val="Смена 4 (8:00 - 20:00)"/>
            <filter val="Смена 2 (8:00 - 20:00)"/>
          </filters>
        </filterColumn>
        <filterColumn colId="15">
          <filters blank="1">
            <filter val="10/17/2020"/>
            <filter val="10/3/2020"/>
            <filter val="10/25/2020"/>
            <filter val="10/22/2020"/>
            <filter val="10/9/2020"/>
            <filter val="10/11/2020"/>
            <filter val="10/14/2020"/>
            <filter val="10/6/2020"/>
            <filter val="10/13/2020"/>
            <filter val="10/28/2020"/>
            <filter val="10/7/2020"/>
            <filter val="10/10/2020"/>
            <filter val="10/21/2020"/>
            <filter val="10/24/2020"/>
            <filter val="10/4/2020"/>
            <filter val="10/16/2020"/>
            <filter val="10/1/2020"/>
            <filter val="11/1/2020"/>
            <filter val="10/27/2020"/>
            <filter val="10/19/2020"/>
            <filter val="10/8/2020"/>
            <filter val="10/29/2020"/>
            <filter val="10/26/2020"/>
            <filter val="10/5/2020"/>
            <filter val="10/20/2020"/>
            <filter val="10/12/2020"/>
            <filter val="10/15/2020"/>
            <filter val="10/23/2020"/>
            <filter val="10/18/2020"/>
            <filter val="10/31/2020"/>
            <filter val="10/2/2020"/>
          </filters>
        </filterColumn>
        <sortState ref="A1:Z1474">
          <sortCondition descending="1" ref="S1:S1474"/>
        </sortState>
      </autoFilter>
    </customSheetView>
    <customSheetView guid="{8DAEC66D-1EC8-4A91-84BE-1DC17713FF4E}" filter="1" showAutoFilter="1">
      <autoFilter ref="$A$1:$Z$1474">
        <filterColumn colId="1">
          <filters>
            <filter val="Смена 2 (20:00 - 8:00)"/>
          </filters>
        </filterColumn>
        <filterColumn colId="15">
          <filters blank="1">
            <filter val="10/17/2020"/>
            <filter val="10/3/2020"/>
            <filter val="10/25/2020"/>
            <filter val="10/22/2020"/>
            <filter val="10/9/2020"/>
            <filter val="10/11/2020"/>
            <filter val="10/14/2020"/>
            <filter val="10/6/2020"/>
            <filter val="10/13/2020"/>
            <filter val="10/28/2020"/>
            <filter val="10/7/2020"/>
            <filter val="10/10/2020"/>
            <filter val="10/21/2020"/>
            <filter val="10/24/2020"/>
            <filter val="10/4/2020"/>
            <filter val="10/16/2020"/>
            <filter val="10/1/2020"/>
            <filter val="11/1/2020"/>
            <filter val="10/27/2020"/>
            <filter val="10/19/2020"/>
            <filter val="10/8/2020"/>
            <filter val="10/29/2020"/>
            <filter val="10/26/2020"/>
            <filter val="10/5/2020"/>
            <filter val="10/20/2020"/>
            <filter val="10/12/2020"/>
            <filter val="10/15/2020"/>
            <filter val="10/23/2020"/>
            <filter val="10/18/2020"/>
            <filter val="10/31/2020"/>
            <filter val="10/2/2020"/>
          </filters>
        </filterColumn>
      </autoFilter>
    </customSheetView>
    <customSheetView guid="{9A5680A1-7CC5-4DDA-B5C1-17A460AC052C}" filter="1" showAutoFilter="1">
      <autoFilter ref="$A$1:$Z$1474">
        <filterColumn colId="18">
          <filters>
            <filter val="Заславский Антон Игоревич"/>
            <filter val="Ельцов Андрей Николаевич"/>
            <filter val="Стосик Степан Владимирович"/>
          </filters>
        </filterColumn>
        <filterColumn colId="17">
          <filters blank="1">
            <filter val="Создание программы для AOI PRI"/>
            <filter val="Сканирование заготовок (&quot;Завершение стадии&quot;)"/>
            <filter val="Написание программы для SEHO PRI"/>
            <filter val="Проверка плат на АОИ Prim"/>
            <filter val="Установка компонентов вручную"/>
            <filter val="Занесение в Aegis"/>
            <filter val="Подготовка компонентов к пайке"/>
            <filter val="Пайка компонентов SEC"/>
            <filter val="Обучение"/>
            <filter val="Сортировка"/>
            <filter val="Настройка SEHO PRI"/>
            <filter val="Внутрисхемное тестирование ICT"/>
            <filter val="Проверка программы на АОИ SEC"/>
            <filter val="Уборка линии"/>
            <filter val="Настойка первой платы на АОИ SEC"/>
            <filter val="Отладка программы"/>
            <filter val="Проверка на АОИ PRI"/>
            <filter val="Формовка компонетов"/>
            <filter val="Зарядка питателей Sec"/>
            <filter val="Маркировка плат"/>
            <filter val="Написание программы для АОИ PRI"/>
            <filter val="Отладка программы на AOI SEC"/>
            <filter val="Проверка плат на АОИ Sec"/>
            <filter val="Настройка MODUS"/>
            <filter val="Настойка первой платы на АОИ"/>
            <filter val="Установка винтов"/>
            <filter val="Разрядка питателей Prim"/>
            <filter val="Установка компонентов  на платы (ручная) SEC"/>
            <filter val="Зарядка питателей Prim"/>
            <filter val="Создание программы для NPM"/>
            <filter val="Верификация компонентов на линию"/>
            <filter val="Написание инструкции"/>
            <filter val="Настройка принтера Sec"/>
            <filter val="Проверка на АОИ SEC"/>
            <filter val="Разрядка питателей Sec"/>
            <filter val="Подготовка компонентов к зарядке"/>
            <filter val="Проверка программы на АОИ"/>
            <filter val="Настройка линии Secondary"/>
            <filter val="Верификация заказа Waggon (после сборки)"/>
            <filter val="Установка компонентов  на платы (ручная) PRI"/>
            <filter val="Проверка участка после смены"/>
            <filter val="ReviewStation sec"/>
            <filter val="Настойка первой платы на АОИ PRI"/>
            <filter val="Выполнение технологических задач"/>
            <filter val="Проверка программы на АОИ PRI"/>
            <filter val="Организационные работы"/>
            <filter val="Проведение обучения"/>
            <filter val="Написание программы для SEHO SEC"/>
            <filter val="Создание программы для AOI SEC"/>
            <filter val="Нанесение пасты"/>
            <filter val="Прохождение обучения"/>
            <filter val="Настройка треев"/>
            <filter val="Отладка программы на AOI PRI"/>
            <filter val="Настройка SEHO SEC"/>
            <filter val="Написание программы для АОИ SEC"/>
            <filter val="Выполнение дополнительных работ на линии"/>
            <filter val="Настройка линии"/>
            <filter val="Настройка принтера Pri"/>
            <filter val="Проверка первой платы после пайки"/>
          </filters>
        </filterColumn>
      </autoFilter>
    </customSheetView>
    <customSheetView guid="{945E118C-3F88-43D1-A6C1-5120645AF663}" filter="1" showAutoFilter="1">
      <autoFilter ref="$A$1:$Z$1734"/>
    </customSheetView>
  </customSheetViews>
  <conditionalFormatting sqref="X1:X1820">
    <cfRule type="cellIs" dxfId="0" priority="1" operator="lessThan">
      <formula>"98%"</formula>
    </cfRule>
  </conditionalFormatting>
  <conditionalFormatting sqref="Y1:Y1820">
    <cfRule type="cellIs" dxfId="0" priority="2" operator="greaterThan">
      <formula>"5%"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35.86"/>
    <col customWidth="1" min="3" max="3" width="13.43"/>
    <col customWidth="1" min="4" max="4" width="10.0"/>
    <col customWidth="1" min="5" max="5" width="10.71"/>
  </cols>
  <sheetData>
    <row r="1">
      <c r="A1" s="37" t="str">
        <f>IFERROR(__xludf.DUMMYFUNCTION("IMPORTRANGE(""https://docs.google.com/spreadsheets/d/14pmnHmYQ9t-GH1vIJMug2AfZmoYk1yJy6WccWm9wvO8/edit#gid=1582262604"",""Сотрудники!A1:e100"")"),"Код")</f>
        <v>Код</v>
      </c>
      <c r="B1" s="37" t="str">
        <f>IFERROR(__xludf.DUMMYFUNCTION("""COMPUTED_VALUE"""),"ФИО")</f>
        <v>ФИО</v>
      </c>
      <c r="C1" s="37" t="str">
        <f>IFERROR(__xludf.DUMMYFUNCTION("""COMPUTED_VALUE"""),"Участок")</f>
        <v>Участок</v>
      </c>
      <c r="D1" s="37" t="str">
        <f>IFERROR(__xludf.DUMMYFUNCTION("""COMPUTED_VALUE"""),"Смена")</f>
        <v>Смена</v>
      </c>
      <c r="E1" s="37" t="str">
        <f>IFERROR(__xludf.DUMMYFUNCTION("""COMPUTED_VALUE"""),"Разряд")</f>
        <v>Разряд</v>
      </c>
    </row>
    <row r="2">
      <c r="A2" s="38">
        <f>IFERROR(__xludf.DUMMYFUNCTION("""COMPUTED_VALUE"""),21954.0)</f>
        <v>21954</v>
      </c>
      <c r="B2" s="38" t="str">
        <f>IFERROR(__xludf.DUMMYFUNCTION("""COMPUTED_VALUE"""),"Александров Александр Викторович")</f>
        <v>Александров Александр Викторович</v>
      </c>
      <c r="C2" s="38" t="str">
        <f>IFERROR(__xludf.DUMMYFUNCTION("""COMPUTED_VALUE"""),"Линии")</f>
        <v>Линии</v>
      </c>
      <c r="D2" s="39">
        <f>IFERROR(__xludf.DUMMYFUNCTION("""COMPUTED_VALUE"""),2.0)</f>
        <v>2</v>
      </c>
      <c r="E2" s="39">
        <f>IFERROR(__xludf.DUMMYFUNCTION("""COMPUTED_VALUE"""),4.0)</f>
        <v>4</v>
      </c>
    </row>
    <row r="3">
      <c r="A3" s="38">
        <f>IFERROR(__xludf.DUMMYFUNCTION("""COMPUTED_VALUE"""),21504.0)</f>
        <v>21504</v>
      </c>
      <c r="B3" s="38" t="str">
        <f>IFERROR(__xludf.DUMMYFUNCTION("""COMPUTED_VALUE"""),"Александрова Елена Сергеевна")</f>
        <v>Александрова Елена Сергеевна</v>
      </c>
      <c r="C3" s="38" t="str">
        <f>IFERROR(__xludf.DUMMYFUNCTION("""COMPUTED_VALUE"""),"Линии")</f>
        <v>Линии</v>
      </c>
      <c r="D3" s="39">
        <f>IFERROR(__xludf.DUMMYFUNCTION("""COMPUTED_VALUE"""),2.0)</f>
        <v>2</v>
      </c>
      <c r="E3" s="39">
        <f>IFERROR(__xludf.DUMMYFUNCTION("""COMPUTED_VALUE"""),5.0)</f>
        <v>5</v>
      </c>
    </row>
    <row r="4">
      <c r="A4" s="38">
        <f>IFERROR(__xludf.DUMMYFUNCTION("""COMPUTED_VALUE"""),20693.0)</f>
        <v>20693</v>
      </c>
      <c r="B4" s="38" t="str">
        <f>IFERROR(__xludf.DUMMYFUNCTION("""COMPUTED_VALUE"""),"Аникина Раиса Владимировна")</f>
        <v>Аникина Раиса Владимировна</v>
      </c>
      <c r="C4" s="38" t="str">
        <f>IFERROR(__xludf.DUMMYFUNCTION("""COMPUTED_VALUE"""),"Линии")</f>
        <v>Линии</v>
      </c>
      <c r="D4" s="39">
        <f>IFERROR(__xludf.DUMMYFUNCTION("""COMPUTED_VALUE"""),4.0)</f>
        <v>4</v>
      </c>
      <c r="E4" s="39">
        <f>IFERROR(__xludf.DUMMYFUNCTION("""COMPUTED_VALUE"""),5.0)</f>
        <v>5</v>
      </c>
    </row>
    <row r="5">
      <c r="A5" s="38">
        <f>IFERROR(__xludf.DUMMYFUNCTION("""COMPUTED_VALUE"""),21544.0)</f>
        <v>21544</v>
      </c>
      <c r="B5" s="38" t="str">
        <f>IFERROR(__xludf.DUMMYFUNCTION("""COMPUTED_VALUE"""),"Анфалов Сергей Андреевич")</f>
        <v>Анфалов Сергей Андреевич</v>
      </c>
      <c r="C5" s="38" t="str">
        <f>IFERROR(__xludf.DUMMYFUNCTION("""COMPUTED_VALUE"""),"")</f>
        <v/>
      </c>
      <c r="D5" s="39" t="str">
        <f>IFERROR(__xludf.DUMMYFUNCTION("""COMPUTED_VALUE"""),"")</f>
        <v/>
      </c>
      <c r="E5" s="39" t="str">
        <f>IFERROR(__xludf.DUMMYFUNCTION("""COMPUTED_VALUE"""),"")</f>
        <v/>
      </c>
    </row>
    <row r="6">
      <c r="A6" s="38">
        <f>IFERROR(__xludf.DUMMYFUNCTION("""COMPUTED_VALUE"""),21475.0)</f>
        <v>21475</v>
      </c>
      <c r="B6" s="38" t="str">
        <f>IFERROR(__xludf.DUMMYFUNCTION("""COMPUTED_VALUE"""),"Байрамашвили Альберт Зурабович")</f>
        <v>Байрамашвили Альберт Зурабович</v>
      </c>
      <c r="C6" s="38" t="str">
        <f>IFERROR(__xludf.DUMMYFUNCTION("""COMPUTED_VALUE"""),"Линии")</f>
        <v>Линии</v>
      </c>
      <c r="D6" s="39">
        <f>IFERROR(__xludf.DUMMYFUNCTION("""COMPUTED_VALUE"""),2.0)</f>
        <v>2</v>
      </c>
      <c r="E6" s="39">
        <f>IFERROR(__xludf.DUMMYFUNCTION("""COMPUTED_VALUE"""),4.0)</f>
        <v>4</v>
      </c>
    </row>
    <row r="7">
      <c r="A7" s="38">
        <f>IFERROR(__xludf.DUMMYFUNCTION("""COMPUTED_VALUE"""),22063.0)</f>
        <v>22063</v>
      </c>
      <c r="B7" s="38" t="str">
        <f>IFERROR(__xludf.DUMMYFUNCTION("""COMPUTED_VALUE"""),"Белоглазов Сергей Анатольевич")</f>
        <v>Белоглазов Сергей Анатольевич</v>
      </c>
      <c r="C7" s="38" t="str">
        <f>IFERROR(__xludf.DUMMYFUNCTION("""COMPUTED_VALUE"""),"Линии")</f>
        <v>Линии</v>
      </c>
      <c r="D7" s="39">
        <f>IFERROR(__xludf.DUMMYFUNCTION("""COMPUTED_VALUE"""),1.0)</f>
        <v>1</v>
      </c>
      <c r="E7" s="39">
        <f>IFERROR(__xludf.DUMMYFUNCTION("""COMPUTED_VALUE"""),4.0)</f>
        <v>4</v>
      </c>
    </row>
    <row r="8">
      <c r="A8" s="38">
        <f>IFERROR(__xludf.DUMMYFUNCTION("""COMPUTED_VALUE"""),21803.0)</f>
        <v>21803</v>
      </c>
      <c r="B8" s="38" t="str">
        <f>IFERROR(__xludf.DUMMYFUNCTION("""COMPUTED_VALUE"""),"Белоглазова Виктория Сергеевна")</f>
        <v>Белоглазова Виктория Сергеевна</v>
      </c>
      <c r="C8" s="38" t="str">
        <f>IFERROR(__xludf.DUMMYFUNCTION("""COMPUTED_VALUE"""),"Линии")</f>
        <v>Линии</v>
      </c>
      <c r="D8" s="39">
        <f>IFERROR(__xludf.DUMMYFUNCTION("""COMPUTED_VALUE"""),1.0)</f>
        <v>1</v>
      </c>
      <c r="E8" s="39">
        <f>IFERROR(__xludf.DUMMYFUNCTION("""COMPUTED_VALUE"""),4.0)</f>
        <v>4</v>
      </c>
    </row>
    <row r="9">
      <c r="A9" s="38">
        <f>IFERROR(__xludf.DUMMYFUNCTION("""COMPUTED_VALUE"""),22604.0)</f>
        <v>22604</v>
      </c>
      <c r="B9" s="38" t="str">
        <f>IFERROR(__xludf.DUMMYFUNCTION("""COMPUTED_VALUE"""),"Богатов Алексей Сергеевич")</f>
        <v>Богатов Алексей Сергеевич</v>
      </c>
      <c r="C9" s="38" t="str">
        <f>IFERROR(__xludf.DUMMYFUNCTION("""COMPUTED_VALUE"""),"Тестирования")</f>
        <v>Тестирования</v>
      </c>
      <c r="D9" s="39" t="str">
        <f>IFERROR(__xludf.DUMMYFUNCTION("""COMPUTED_VALUE"""),"")</f>
        <v/>
      </c>
      <c r="E9" s="39" t="str">
        <f>IFERROR(__xludf.DUMMYFUNCTION("""COMPUTED_VALUE"""),"")</f>
        <v/>
      </c>
    </row>
    <row r="10">
      <c r="A10" s="38">
        <f>IFERROR(__xludf.DUMMYFUNCTION("""COMPUTED_VALUE"""),21771.0)</f>
        <v>21771</v>
      </c>
      <c r="B10" s="38" t="str">
        <f>IFERROR(__xludf.DUMMYFUNCTION("""COMPUTED_VALUE"""),"Болгов")</f>
        <v>Болгов</v>
      </c>
      <c r="C10" s="38" t="str">
        <f>IFERROR(__xludf.DUMMYFUNCTION("""COMPUTED_VALUE"""),"")</f>
        <v/>
      </c>
      <c r="D10" s="39" t="str">
        <f>IFERROR(__xludf.DUMMYFUNCTION("""COMPUTED_VALUE"""),"")</f>
        <v/>
      </c>
      <c r="E10" s="39" t="str">
        <f>IFERROR(__xludf.DUMMYFUNCTION("""COMPUTED_VALUE"""),"")</f>
        <v/>
      </c>
    </row>
    <row r="11">
      <c r="A11" s="38">
        <f>IFERROR(__xludf.DUMMYFUNCTION("""COMPUTED_VALUE"""),22244.0)</f>
        <v>22244</v>
      </c>
      <c r="B11" s="38" t="str">
        <f>IFERROR(__xludf.DUMMYFUNCTION("""COMPUTED_VALUE"""),"Бондаренко Екатерина Александровна")</f>
        <v>Бондаренко Екатерина Александровна</v>
      </c>
      <c r="C11" s="38" t="str">
        <f>IFERROR(__xludf.DUMMYFUNCTION("""COMPUTED_VALUE"""),"")</f>
        <v/>
      </c>
      <c r="D11" s="39" t="str">
        <f>IFERROR(__xludf.DUMMYFUNCTION("""COMPUTED_VALUE"""),"")</f>
        <v/>
      </c>
      <c r="E11" s="39" t="str">
        <f>IFERROR(__xludf.DUMMYFUNCTION("""COMPUTED_VALUE"""),"")</f>
        <v/>
      </c>
    </row>
    <row r="12">
      <c r="A12" s="38">
        <f>IFERROR(__xludf.DUMMYFUNCTION("""COMPUTED_VALUE"""),21423.0)</f>
        <v>21423</v>
      </c>
      <c r="B12" s="38" t="str">
        <f>IFERROR(__xludf.DUMMYFUNCTION("""COMPUTED_VALUE"""),"Быстрова")</f>
        <v>Быстрова</v>
      </c>
      <c r="C12" s="38" t="str">
        <f>IFERROR(__xludf.DUMMYFUNCTION("""COMPUTED_VALUE"""),"")</f>
        <v/>
      </c>
      <c r="D12" s="39" t="str">
        <f>IFERROR(__xludf.DUMMYFUNCTION("""COMPUTED_VALUE"""),"")</f>
        <v/>
      </c>
      <c r="E12" s="39" t="str">
        <f>IFERROR(__xludf.DUMMYFUNCTION("""COMPUTED_VALUE"""),"")</f>
        <v/>
      </c>
    </row>
    <row r="13">
      <c r="A13" s="38">
        <f>IFERROR(__xludf.DUMMYFUNCTION("""COMPUTED_VALUE"""),21461.0)</f>
        <v>21461</v>
      </c>
      <c r="B13" s="38" t="str">
        <f>IFERROR(__xludf.DUMMYFUNCTION("""COMPUTED_VALUE"""),"Вальд")</f>
        <v>Вальд</v>
      </c>
      <c r="C13" s="38" t="str">
        <f>IFERROR(__xludf.DUMMYFUNCTION("""COMPUTED_VALUE"""),"")</f>
        <v/>
      </c>
      <c r="D13" s="39" t="str">
        <f>IFERROR(__xludf.DUMMYFUNCTION("""COMPUTED_VALUE"""),"")</f>
        <v/>
      </c>
      <c r="E13" s="39" t="str">
        <f>IFERROR(__xludf.DUMMYFUNCTION("""COMPUTED_VALUE"""),"")</f>
        <v/>
      </c>
    </row>
    <row r="14">
      <c r="A14" s="38">
        <f>IFERROR(__xludf.DUMMYFUNCTION("""COMPUTED_VALUE"""),18893.0)</f>
        <v>18893</v>
      </c>
      <c r="B14" s="38" t="str">
        <f>IFERROR(__xludf.DUMMYFUNCTION("""COMPUTED_VALUE"""),"Васильченко Инна Николаевна")</f>
        <v>Васильченко Инна Николаевна</v>
      </c>
      <c r="C14" s="38" t="str">
        <f>IFERROR(__xludf.DUMMYFUNCTION("""COMPUTED_VALUE"""),"Тестирования")</f>
        <v>Тестирования</v>
      </c>
      <c r="D14" s="39">
        <f>IFERROR(__xludf.DUMMYFUNCTION("""COMPUTED_VALUE"""),2.0)</f>
        <v>2</v>
      </c>
      <c r="E14" s="39">
        <f>IFERROR(__xludf.DUMMYFUNCTION("""COMPUTED_VALUE"""),4.0)</f>
        <v>4</v>
      </c>
    </row>
    <row r="15">
      <c r="A15" s="38">
        <f>IFERROR(__xludf.DUMMYFUNCTION("""COMPUTED_VALUE"""),21935.0)</f>
        <v>21935</v>
      </c>
      <c r="B15" s="38" t="str">
        <f>IFERROR(__xludf.DUMMYFUNCTION("""COMPUTED_VALUE"""),"Вертепов Михаил Васильевич")</f>
        <v>Вертепов Михаил Васильевич</v>
      </c>
      <c r="C15" s="38" t="str">
        <f>IFERROR(__xludf.DUMMYFUNCTION("""COMPUTED_VALUE"""),"Монтажный")</f>
        <v>Монтажный</v>
      </c>
      <c r="D15" s="39">
        <f>IFERROR(__xludf.DUMMYFUNCTION("""COMPUTED_VALUE"""),1.0)</f>
        <v>1</v>
      </c>
      <c r="E15" s="39">
        <f>IFERROR(__xludf.DUMMYFUNCTION("""COMPUTED_VALUE"""),4.0)</f>
        <v>4</v>
      </c>
    </row>
    <row r="16">
      <c r="A16" s="38">
        <f>IFERROR(__xludf.DUMMYFUNCTION("""COMPUTED_VALUE"""),21555.0)</f>
        <v>21555</v>
      </c>
      <c r="B16" s="38" t="str">
        <f>IFERROR(__xludf.DUMMYFUNCTION("""COMPUTED_VALUE"""),"Власенко")</f>
        <v>Власенко</v>
      </c>
      <c r="C16" s="38" t="str">
        <f>IFERROR(__xludf.DUMMYFUNCTION("""COMPUTED_VALUE"""),"")</f>
        <v/>
      </c>
      <c r="D16" s="39" t="str">
        <f>IFERROR(__xludf.DUMMYFUNCTION("""COMPUTED_VALUE"""),"")</f>
        <v/>
      </c>
      <c r="E16" s="39" t="str">
        <f>IFERROR(__xludf.DUMMYFUNCTION("""COMPUTED_VALUE"""),"")</f>
        <v/>
      </c>
    </row>
    <row r="17">
      <c r="A17" s="38">
        <f>IFERROR(__xludf.DUMMYFUNCTION("""COMPUTED_VALUE"""),20528.0)</f>
        <v>20528</v>
      </c>
      <c r="B17" s="38" t="str">
        <f>IFERROR(__xludf.DUMMYFUNCTION("""COMPUTED_VALUE"""),"Вожжова Екатерина Сергеевна")</f>
        <v>Вожжова Екатерина Сергеевна</v>
      </c>
      <c r="C17" s="38" t="str">
        <f>IFERROR(__xludf.DUMMYFUNCTION("""COMPUTED_VALUE"""),"")</f>
        <v/>
      </c>
      <c r="D17" s="39" t="str">
        <f>IFERROR(__xludf.DUMMYFUNCTION("""COMPUTED_VALUE"""),"")</f>
        <v/>
      </c>
      <c r="E17" s="39" t="str">
        <f>IFERROR(__xludf.DUMMYFUNCTION("""COMPUTED_VALUE"""),"")</f>
        <v/>
      </c>
    </row>
    <row r="18">
      <c r="A18" s="38">
        <f>IFERROR(__xludf.DUMMYFUNCTION("""COMPUTED_VALUE"""),21419.0)</f>
        <v>21419</v>
      </c>
      <c r="B18" s="38" t="str">
        <f>IFERROR(__xludf.DUMMYFUNCTION("""COMPUTED_VALUE"""),"Воробьёв Анатолий Евгеньевич")</f>
        <v>Воробьёв Анатолий Евгеньевич</v>
      </c>
      <c r="C18" s="38" t="str">
        <f>IFERROR(__xludf.DUMMYFUNCTION("""COMPUTED_VALUE"""),"Руковод")</f>
        <v>Руковод</v>
      </c>
      <c r="D18" s="39">
        <f>IFERROR(__xludf.DUMMYFUNCTION("""COMPUTED_VALUE"""),2.0)</f>
        <v>2</v>
      </c>
      <c r="E18" s="39">
        <f>IFERROR(__xludf.DUMMYFUNCTION("""COMPUTED_VALUE"""),10.0)</f>
        <v>10</v>
      </c>
    </row>
    <row r="19">
      <c r="A19" s="38">
        <f>IFERROR(__xludf.DUMMYFUNCTION("""COMPUTED_VALUE"""),22623.0)</f>
        <v>22623</v>
      </c>
      <c r="B19" s="38" t="str">
        <f>IFERROR(__xludf.DUMMYFUNCTION("""COMPUTED_VALUE"""),"Воронова Ирина Владимировна")</f>
        <v>Воронова Ирина Владимировна</v>
      </c>
      <c r="C19" s="38" t="str">
        <f>IFERROR(__xludf.DUMMYFUNCTION("""COMPUTED_VALUE"""),"Монтажный")</f>
        <v>Монтажный</v>
      </c>
      <c r="D19" s="39" t="str">
        <f>IFERROR(__xludf.DUMMYFUNCTION("""COMPUTED_VALUE"""),"")</f>
        <v/>
      </c>
      <c r="E19" s="39">
        <f>IFERROR(__xludf.DUMMYFUNCTION("""COMPUTED_VALUE"""),1.0)</f>
        <v>1</v>
      </c>
    </row>
    <row r="20">
      <c r="A20" s="38">
        <f>IFERROR(__xludf.DUMMYFUNCTION("""COMPUTED_VALUE"""),22418.0)</f>
        <v>22418</v>
      </c>
      <c r="B20" s="38" t="str">
        <f>IFERROR(__xludf.DUMMYFUNCTION("""COMPUTED_VALUE"""),"Галкин Фёдов Владимирович")</f>
        <v>Галкин Фёдов Владимирович</v>
      </c>
      <c r="C20" s="38" t="str">
        <f>IFERROR(__xludf.DUMMYFUNCTION("""COMPUTED_VALUE"""),"")</f>
        <v/>
      </c>
      <c r="D20" s="39" t="str">
        <f>IFERROR(__xludf.DUMMYFUNCTION("""COMPUTED_VALUE"""),"")</f>
        <v/>
      </c>
      <c r="E20" s="39" t="str">
        <f>IFERROR(__xludf.DUMMYFUNCTION("""COMPUTED_VALUE"""),"")</f>
        <v/>
      </c>
    </row>
    <row r="21">
      <c r="A21" s="38">
        <f>IFERROR(__xludf.DUMMYFUNCTION("""COMPUTED_VALUE"""),21930.0)</f>
        <v>21930</v>
      </c>
      <c r="B21" s="38" t="str">
        <f>IFERROR(__xludf.DUMMYFUNCTION("""COMPUTED_VALUE"""),"Городецкий Антон Олегович")</f>
        <v>Городецкий Антон Олегович</v>
      </c>
      <c r="C21" s="38" t="str">
        <f>IFERROR(__xludf.DUMMYFUNCTION("""COMPUTED_VALUE"""),"Тестирования")</f>
        <v>Тестирования</v>
      </c>
      <c r="D21" s="39">
        <f>IFERROR(__xludf.DUMMYFUNCTION("""COMPUTED_VALUE"""),4.0)</f>
        <v>4</v>
      </c>
      <c r="E21" s="39">
        <f>IFERROR(__xludf.DUMMYFUNCTION("""COMPUTED_VALUE"""),4.0)</f>
        <v>4</v>
      </c>
    </row>
    <row r="22">
      <c r="A22" s="38">
        <f>IFERROR(__xludf.DUMMYFUNCTION("""COMPUTED_VALUE"""),22635.0)</f>
        <v>22635</v>
      </c>
      <c r="B22" s="38" t="str">
        <f>IFERROR(__xludf.DUMMYFUNCTION("""COMPUTED_VALUE"""),"Груздев ДаниилАлексеевич")</f>
        <v>Груздев ДаниилАлексеевич</v>
      </c>
      <c r="C22" s="38" t="str">
        <f>IFERROR(__xludf.DUMMYFUNCTION("""COMPUTED_VALUE"""),"Тестирования")</f>
        <v>Тестирования</v>
      </c>
      <c r="D22" s="39">
        <f>IFERROR(__xludf.DUMMYFUNCTION("""COMPUTED_VALUE"""),2.0)</f>
        <v>2</v>
      </c>
      <c r="E22" s="39">
        <f>IFERROR(__xludf.DUMMYFUNCTION("""COMPUTED_VALUE"""),1.0)</f>
        <v>1</v>
      </c>
    </row>
    <row r="23">
      <c r="A23" s="38">
        <f>IFERROR(__xludf.DUMMYFUNCTION("""COMPUTED_VALUE"""),22379.0)</f>
        <v>22379</v>
      </c>
      <c r="B23" s="38" t="str">
        <f>IFERROR(__xludf.DUMMYFUNCTION("""COMPUTED_VALUE"""),"Гулевич Виктор Андреевич")</f>
        <v>Гулевич Виктор Андреевич</v>
      </c>
      <c r="C23" s="38" t="str">
        <f>IFERROR(__xludf.DUMMYFUNCTION("""COMPUTED_VALUE"""),"Тестирования")</f>
        <v>Тестирования</v>
      </c>
      <c r="D23" s="39">
        <f>IFERROR(__xludf.DUMMYFUNCTION("""COMPUTED_VALUE"""),2.0)</f>
        <v>2</v>
      </c>
      <c r="E23" s="39">
        <f>IFERROR(__xludf.DUMMYFUNCTION("""COMPUTED_VALUE"""),2.0)</f>
        <v>2</v>
      </c>
    </row>
    <row r="24">
      <c r="A24" s="38">
        <f>IFERROR(__xludf.DUMMYFUNCTION("""COMPUTED_VALUE"""),21437.0)</f>
        <v>21437</v>
      </c>
      <c r="B24" s="38" t="str">
        <f>IFERROR(__xludf.DUMMYFUNCTION("""COMPUTED_VALUE"""),"Джерентаев")</f>
        <v>Джерентаев</v>
      </c>
      <c r="C24" s="38" t="str">
        <f>IFERROR(__xludf.DUMMYFUNCTION("""COMPUTED_VALUE"""),"")</f>
        <v/>
      </c>
      <c r="D24" s="39" t="str">
        <f>IFERROR(__xludf.DUMMYFUNCTION("""COMPUTED_VALUE"""),"")</f>
        <v/>
      </c>
      <c r="E24" s="39" t="str">
        <f>IFERROR(__xludf.DUMMYFUNCTION("""COMPUTED_VALUE"""),"")</f>
        <v/>
      </c>
    </row>
    <row r="25">
      <c r="A25" s="38">
        <f>IFERROR(__xludf.DUMMYFUNCTION("""COMPUTED_VALUE"""),21411.0)</f>
        <v>21411</v>
      </c>
      <c r="B25" s="38" t="str">
        <f>IFERROR(__xludf.DUMMYFUNCTION("""COMPUTED_VALUE"""),"Добрецов")</f>
        <v>Добрецов</v>
      </c>
      <c r="C25" s="38" t="str">
        <f>IFERROR(__xludf.DUMMYFUNCTION("""COMPUTED_VALUE"""),"")</f>
        <v/>
      </c>
      <c r="D25" s="39" t="str">
        <f>IFERROR(__xludf.DUMMYFUNCTION("""COMPUTED_VALUE"""),"")</f>
        <v/>
      </c>
      <c r="E25" s="39" t="str">
        <f>IFERROR(__xludf.DUMMYFUNCTION("""COMPUTED_VALUE"""),"")</f>
        <v/>
      </c>
    </row>
    <row r="26">
      <c r="A26" s="38">
        <f>IFERROR(__xludf.DUMMYFUNCTION("""COMPUTED_VALUE"""),19198.0)</f>
        <v>19198</v>
      </c>
      <c r="B26" s="38" t="str">
        <f>IFERROR(__xludf.DUMMYFUNCTION("""COMPUTED_VALUE"""),"Долматов Кирилл Сергеевич")</f>
        <v>Долматов Кирилл Сергеевич</v>
      </c>
      <c r="C26" s="38" t="str">
        <f>IFERROR(__xludf.DUMMYFUNCTION("""COMPUTED_VALUE"""),"Тестирования")</f>
        <v>Тестирования</v>
      </c>
      <c r="D26" s="39">
        <f>IFERROR(__xludf.DUMMYFUNCTION("""COMPUTED_VALUE"""),1.0)</f>
        <v>1</v>
      </c>
      <c r="E26" s="39">
        <f>IFERROR(__xludf.DUMMYFUNCTION("""COMPUTED_VALUE"""),4.0)</f>
        <v>4</v>
      </c>
    </row>
    <row r="27">
      <c r="A27" s="38">
        <f>IFERROR(__xludf.DUMMYFUNCTION("""COMPUTED_VALUE"""),21752.0)</f>
        <v>21752</v>
      </c>
      <c r="B27" s="38" t="str">
        <f>IFERROR(__xludf.DUMMYFUNCTION("""COMPUTED_VALUE"""),"Егоров Александр Александрович")</f>
        <v>Егоров Александр Александрович</v>
      </c>
      <c r="C27" s="38" t="str">
        <f>IFERROR(__xludf.DUMMYFUNCTION("""COMPUTED_VALUE"""),"Линии")</f>
        <v>Линии</v>
      </c>
      <c r="D27" s="39">
        <f>IFERROR(__xludf.DUMMYFUNCTION("""COMPUTED_VALUE"""),1.0)</f>
        <v>1</v>
      </c>
      <c r="E27" s="39">
        <f>IFERROR(__xludf.DUMMYFUNCTION("""COMPUTED_VALUE"""),4.0)</f>
        <v>4</v>
      </c>
    </row>
    <row r="28">
      <c r="A28" s="38">
        <f>IFERROR(__xludf.DUMMYFUNCTION("""COMPUTED_VALUE"""),22586.0)</f>
        <v>22586</v>
      </c>
      <c r="B28" s="38" t="str">
        <f>IFERROR(__xludf.DUMMYFUNCTION("""COMPUTED_VALUE"""),"Ежов Александр Викторович")</f>
        <v>Ежов Александр Викторович</v>
      </c>
      <c r="C28" s="38" t="str">
        <f>IFERROR(__xludf.DUMMYFUNCTION("""COMPUTED_VALUE"""),"Тестирования")</f>
        <v>Тестирования</v>
      </c>
      <c r="D28" s="39">
        <f>IFERROR(__xludf.DUMMYFUNCTION("""COMPUTED_VALUE"""),4.0)</f>
        <v>4</v>
      </c>
      <c r="E28" s="39">
        <f>IFERROR(__xludf.DUMMYFUNCTION("""COMPUTED_VALUE"""),1.0)</f>
        <v>1</v>
      </c>
    </row>
    <row r="29">
      <c r="A29" s="38">
        <f>IFERROR(__xludf.DUMMYFUNCTION("""COMPUTED_VALUE"""),20015.0)</f>
        <v>20015</v>
      </c>
      <c r="B29" s="38" t="str">
        <f>IFERROR(__xludf.DUMMYFUNCTION("""COMPUTED_VALUE"""),"Ельцов Андрей Николаевич")</f>
        <v>Ельцов Андрей Николаевич</v>
      </c>
      <c r="C29" s="38" t="str">
        <f>IFERROR(__xludf.DUMMYFUNCTION("""COMPUTED_VALUE"""),"Линии")</f>
        <v>Линии</v>
      </c>
      <c r="D29" s="39">
        <f>IFERROR(__xludf.DUMMYFUNCTION("""COMPUTED_VALUE"""),1.0)</f>
        <v>1</v>
      </c>
      <c r="E29" s="39">
        <f>IFERROR(__xludf.DUMMYFUNCTION("""COMPUTED_VALUE"""),5.0)</f>
        <v>5</v>
      </c>
    </row>
    <row r="30">
      <c r="A30" s="38">
        <f>IFERROR(__xludf.DUMMYFUNCTION("""COMPUTED_VALUE"""),19935.0)</f>
        <v>19935</v>
      </c>
      <c r="B30" s="38" t="str">
        <f>IFERROR(__xludf.DUMMYFUNCTION("""COMPUTED_VALUE"""),"Ерамишян Ирина Александровна")</f>
        <v>Ерамишян Ирина Александровна</v>
      </c>
      <c r="C30" s="38" t="str">
        <f>IFERROR(__xludf.DUMMYFUNCTION("""COMPUTED_VALUE"""),"Тестирования")</f>
        <v>Тестирования</v>
      </c>
      <c r="D30" s="39">
        <f>IFERROR(__xludf.DUMMYFUNCTION("""COMPUTED_VALUE"""),2.0)</f>
        <v>2</v>
      </c>
      <c r="E30" s="39">
        <f>IFERROR(__xludf.DUMMYFUNCTION("""COMPUTED_VALUE"""),4.0)</f>
        <v>4</v>
      </c>
    </row>
    <row r="31">
      <c r="A31" s="38">
        <f>IFERROR(__xludf.DUMMYFUNCTION("""COMPUTED_VALUE"""),22514.0)</f>
        <v>22514</v>
      </c>
      <c r="B31" s="38" t="str">
        <f>IFERROR(__xludf.DUMMYFUNCTION("""COMPUTED_VALUE"""),"Жаров Кирилл Александрович")</f>
        <v>Жаров Кирилл Александрович</v>
      </c>
      <c r="C31" s="38" t="str">
        <f>IFERROR(__xludf.DUMMYFUNCTION("""COMPUTED_VALUE"""),"Монтажный")</f>
        <v>Монтажный</v>
      </c>
      <c r="D31" s="39">
        <f>IFERROR(__xludf.DUMMYFUNCTION("""COMPUTED_VALUE"""),1.0)</f>
        <v>1</v>
      </c>
      <c r="E31" s="39">
        <f>IFERROR(__xludf.DUMMYFUNCTION("""COMPUTED_VALUE"""),1.0)</f>
        <v>1</v>
      </c>
    </row>
    <row r="32">
      <c r="A32" s="38">
        <f>IFERROR(__xludf.DUMMYFUNCTION("""COMPUTED_VALUE"""),22621.0)</f>
        <v>22621</v>
      </c>
      <c r="B32" s="38" t="str">
        <f>IFERROR(__xludf.DUMMYFUNCTION("""COMPUTED_VALUE"""),"Журавлёв Михаил Дмитриевич")</f>
        <v>Журавлёв Михаил Дмитриевич</v>
      </c>
      <c r="C32" s="38" t="str">
        <f>IFERROR(__xludf.DUMMYFUNCTION("""COMPUTED_VALUE"""),"Монтажный")</f>
        <v>Монтажный</v>
      </c>
      <c r="D32" s="39" t="str">
        <f>IFERROR(__xludf.DUMMYFUNCTION("""COMPUTED_VALUE"""),"")</f>
        <v/>
      </c>
      <c r="E32" s="39">
        <f>IFERROR(__xludf.DUMMYFUNCTION("""COMPUTED_VALUE"""),1.0)</f>
        <v>1</v>
      </c>
    </row>
    <row r="33">
      <c r="A33" s="38">
        <f>IFERROR(__xludf.DUMMYFUNCTION("""COMPUTED_VALUE"""),22721.0)</f>
        <v>22721</v>
      </c>
      <c r="B33" s="38" t="str">
        <f>IFERROR(__xludf.DUMMYFUNCTION("""COMPUTED_VALUE"""),"Заславский Антон Игоревич")</f>
        <v>Заславский Антон Игоревич</v>
      </c>
      <c r="C33" s="38" t="str">
        <f>IFERROR(__xludf.DUMMYFUNCTION("""COMPUTED_VALUE"""),"Линии")</f>
        <v>Линии</v>
      </c>
      <c r="D33" s="39">
        <f>IFERROR(__xludf.DUMMYFUNCTION("""COMPUTED_VALUE"""),4.0)</f>
        <v>4</v>
      </c>
      <c r="E33" s="39">
        <f>IFERROR(__xludf.DUMMYFUNCTION("""COMPUTED_VALUE"""),1.0)</f>
        <v>1</v>
      </c>
    </row>
    <row r="34">
      <c r="A34" s="38">
        <f>IFERROR(__xludf.DUMMYFUNCTION("""COMPUTED_VALUE"""),22327.0)</f>
        <v>22327</v>
      </c>
      <c r="B34" s="38" t="str">
        <f>IFERROR(__xludf.DUMMYFUNCTION("""COMPUTED_VALUE"""),"Зозуля")</f>
        <v>Зозуля</v>
      </c>
      <c r="C34" s="38" t="str">
        <f>IFERROR(__xludf.DUMMYFUNCTION("""COMPUTED_VALUE"""),"")</f>
        <v/>
      </c>
      <c r="D34" s="39" t="str">
        <f>IFERROR(__xludf.DUMMYFUNCTION("""COMPUTED_VALUE"""),"")</f>
        <v/>
      </c>
      <c r="E34" s="39" t="str">
        <f>IFERROR(__xludf.DUMMYFUNCTION("""COMPUTED_VALUE"""),"")</f>
        <v/>
      </c>
    </row>
    <row r="35">
      <c r="A35" s="38">
        <f>IFERROR(__xludf.DUMMYFUNCTION("""COMPUTED_VALUE"""),20639.0)</f>
        <v>20639</v>
      </c>
      <c r="B35" s="38" t="str">
        <f>IFERROR(__xludf.DUMMYFUNCTION("""COMPUTED_VALUE"""),"Иванов Назар Александрович")</f>
        <v>Иванов Назар Александрович</v>
      </c>
      <c r="C35" s="38" t="str">
        <f>IFERROR(__xludf.DUMMYFUNCTION("""COMPUTED_VALUE"""),"Тестирования")</f>
        <v>Тестирования</v>
      </c>
      <c r="D35" s="39">
        <f>IFERROR(__xludf.DUMMYFUNCTION("""COMPUTED_VALUE"""),2.0)</f>
        <v>2</v>
      </c>
      <c r="E35" s="39">
        <f>IFERROR(__xludf.DUMMYFUNCTION("""COMPUTED_VALUE"""),4.0)</f>
        <v>4</v>
      </c>
    </row>
    <row r="36">
      <c r="A36" s="38">
        <f>IFERROR(__xludf.DUMMYFUNCTION("""COMPUTED_VALUE"""),21522.0)</f>
        <v>21522</v>
      </c>
      <c r="B36" s="38" t="str">
        <f>IFERROR(__xludf.DUMMYFUNCTION("""COMPUTED_VALUE"""),"Исаев Никита Дмитриевич")</f>
        <v>Исаев Никита Дмитриевич</v>
      </c>
      <c r="C36" s="38" t="str">
        <f>IFERROR(__xludf.DUMMYFUNCTION("""COMPUTED_VALUE"""),"Линии")</f>
        <v>Линии</v>
      </c>
      <c r="D36" s="39">
        <f>IFERROR(__xludf.DUMMYFUNCTION("""COMPUTED_VALUE"""),1.0)</f>
        <v>1</v>
      </c>
      <c r="E36" s="39">
        <f>IFERROR(__xludf.DUMMYFUNCTION("""COMPUTED_VALUE"""),4.0)</f>
        <v>4</v>
      </c>
    </row>
    <row r="37">
      <c r="A37" s="38">
        <f>IFERROR(__xludf.DUMMYFUNCTION("""COMPUTED_VALUE"""),22634.0)</f>
        <v>22634</v>
      </c>
      <c r="B37" s="38" t="str">
        <f>IFERROR(__xludf.DUMMYFUNCTION("""COMPUTED_VALUE"""),"Карцев Игорь Александрович")</f>
        <v>Карцев Игорь Александрович</v>
      </c>
      <c r="C37" s="38" t="str">
        <f>IFERROR(__xludf.DUMMYFUNCTION("""COMPUTED_VALUE"""),"Тестирования")</f>
        <v>Тестирования</v>
      </c>
      <c r="D37" s="39">
        <f>IFERROR(__xludf.DUMMYFUNCTION("""COMPUTED_VALUE"""),4.0)</f>
        <v>4</v>
      </c>
      <c r="E37" s="39">
        <f>IFERROR(__xludf.DUMMYFUNCTION("""COMPUTED_VALUE"""),1.0)</f>
        <v>1</v>
      </c>
    </row>
    <row r="38">
      <c r="A38" s="38">
        <f>IFERROR(__xludf.DUMMYFUNCTION("""COMPUTED_VALUE"""),20751.0)</f>
        <v>20751</v>
      </c>
      <c r="B38" s="38" t="str">
        <f>IFERROR(__xludf.DUMMYFUNCTION("""COMPUTED_VALUE"""),"Кезерев Виталий Романович")</f>
        <v>Кезерев Виталий Романович</v>
      </c>
      <c r="C38" s="38" t="str">
        <f>IFERROR(__xludf.DUMMYFUNCTION("""COMPUTED_VALUE"""),"Линии")</f>
        <v>Линии</v>
      </c>
      <c r="D38" s="39">
        <f>IFERROR(__xludf.DUMMYFUNCTION("""COMPUTED_VALUE"""),2.0)</f>
        <v>2</v>
      </c>
      <c r="E38" s="39">
        <f>IFERROR(__xludf.DUMMYFUNCTION("""COMPUTED_VALUE"""),4.0)</f>
        <v>4</v>
      </c>
    </row>
    <row r="39">
      <c r="A39" s="38">
        <f>IFERROR(__xludf.DUMMYFUNCTION("""COMPUTED_VALUE"""),21913.0)</f>
        <v>21913</v>
      </c>
      <c r="B39" s="38" t="str">
        <f>IFERROR(__xludf.DUMMYFUNCTION("""COMPUTED_VALUE"""),"Кирпичников")</f>
        <v>Кирпичников</v>
      </c>
      <c r="C39" s="38" t="str">
        <f>IFERROR(__xludf.DUMMYFUNCTION("""COMPUTED_VALUE"""),"")</f>
        <v/>
      </c>
      <c r="D39" s="39" t="str">
        <f>IFERROR(__xludf.DUMMYFUNCTION("""COMPUTED_VALUE"""),"")</f>
        <v/>
      </c>
      <c r="E39" s="39" t="str">
        <f>IFERROR(__xludf.DUMMYFUNCTION("""COMPUTED_VALUE"""),"")</f>
        <v/>
      </c>
    </row>
    <row r="40">
      <c r="A40" s="38">
        <f>IFERROR(__xludf.DUMMYFUNCTION("""COMPUTED_VALUE"""),22519.0)</f>
        <v>22519</v>
      </c>
      <c r="B40" s="38" t="str">
        <f>IFERROR(__xludf.DUMMYFUNCTION("""COMPUTED_VALUE"""),"Кондратюк Алексей Викторович")</f>
        <v>Кондратюк Алексей Викторович</v>
      </c>
      <c r="C40" s="38" t="str">
        <f>IFERROR(__xludf.DUMMYFUNCTION("""COMPUTED_VALUE"""),"")</f>
        <v/>
      </c>
      <c r="D40" s="39" t="str">
        <f>IFERROR(__xludf.DUMMYFUNCTION("""COMPUTED_VALUE"""),"")</f>
        <v/>
      </c>
      <c r="E40" s="39" t="str">
        <f>IFERROR(__xludf.DUMMYFUNCTION("""COMPUTED_VALUE"""),"")</f>
        <v/>
      </c>
    </row>
    <row r="41">
      <c r="A41" s="38">
        <f>IFERROR(__xludf.DUMMYFUNCTION("""COMPUTED_VALUE"""),21569.0)</f>
        <v>21569</v>
      </c>
      <c r="B41" s="38" t="str">
        <f>IFERROR(__xludf.DUMMYFUNCTION("""COMPUTED_VALUE"""),"Кораблев")</f>
        <v>Кораблев</v>
      </c>
      <c r="C41" s="38" t="str">
        <f>IFERROR(__xludf.DUMMYFUNCTION("""COMPUTED_VALUE"""),"")</f>
        <v/>
      </c>
      <c r="D41" s="39" t="str">
        <f>IFERROR(__xludf.DUMMYFUNCTION("""COMPUTED_VALUE"""),"")</f>
        <v/>
      </c>
      <c r="E41" s="39" t="str">
        <f>IFERROR(__xludf.DUMMYFUNCTION("""COMPUTED_VALUE"""),"")</f>
        <v/>
      </c>
    </row>
    <row r="42">
      <c r="A42" s="38">
        <f>IFERROR(__xludf.DUMMYFUNCTION("""COMPUTED_VALUE"""),21693.0)</f>
        <v>21693</v>
      </c>
      <c r="B42" s="38" t="str">
        <f>IFERROR(__xludf.DUMMYFUNCTION("""COMPUTED_VALUE"""),"Кочеров")</f>
        <v>Кочеров</v>
      </c>
      <c r="C42" s="38" t="str">
        <f>IFERROR(__xludf.DUMMYFUNCTION("""COMPUTED_VALUE"""),"")</f>
        <v/>
      </c>
      <c r="D42" s="39" t="str">
        <f>IFERROR(__xludf.DUMMYFUNCTION("""COMPUTED_VALUE"""),"")</f>
        <v/>
      </c>
      <c r="E42" s="39" t="str">
        <f>IFERROR(__xludf.DUMMYFUNCTION("""COMPUTED_VALUE"""),"")</f>
        <v/>
      </c>
    </row>
    <row r="43">
      <c r="A43" s="38">
        <f>IFERROR(__xludf.DUMMYFUNCTION("""COMPUTED_VALUE"""),21816.0)</f>
        <v>21816</v>
      </c>
      <c r="B43" s="38" t="str">
        <f>IFERROR(__xludf.DUMMYFUNCTION("""COMPUTED_VALUE"""),"Крылова")</f>
        <v>Крылова</v>
      </c>
      <c r="C43" s="38" t="str">
        <f>IFERROR(__xludf.DUMMYFUNCTION("""COMPUTED_VALUE"""),"")</f>
        <v/>
      </c>
      <c r="D43" s="39" t="str">
        <f>IFERROR(__xludf.DUMMYFUNCTION("""COMPUTED_VALUE"""),"")</f>
        <v/>
      </c>
      <c r="E43" s="39" t="str">
        <f>IFERROR(__xludf.DUMMYFUNCTION("""COMPUTED_VALUE"""),"")</f>
        <v/>
      </c>
    </row>
    <row r="44">
      <c r="A44" s="38">
        <f>IFERROR(__xludf.DUMMYFUNCTION("""COMPUTED_VALUE"""),21212.0)</f>
        <v>21212</v>
      </c>
      <c r="B44" s="38" t="str">
        <f>IFERROR(__xludf.DUMMYFUNCTION("""COMPUTED_VALUE"""),"Кукса")</f>
        <v>Кукса</v>
      </c>
      <c r="C44" s="38" t="str">
        <f>IFERROR(__xludf.DUMMYFUNCTION("""COMPUTED_VALUE"""),"")</f>
        <v/>
      </c>
      <c r="D44" s="39" t="str">
        <f>IFERROR(__xludf.DUMMYFUNCTION("""COMPUTED_VALUE"""),"")</f>
        <v/>
      </c>
      <c r="E44" s="39" t="str">
        <f>IFERROR(__xludf.DUMMYFUNCTION("""COMPUTED_VALUE"""),"")</f>
        <v/>
      </c>
    </row>
    <row r="45">
      <c r="A45" s="38">
        <f>IFERROR(__xludf.DUMMYFUNCTION("""COMPUTED_VALUE"""),22575.0)</f>
        <v>22575</v>
      </c>
      <c r="B45" s="38" t="str">
        <f>IFERROR(__xludf.DUMMYFUNCTION("""COMPUTED_VALUE"""),"Куликов Виктор Алексеевич")</f>
        <v>Куликов Виктор Алексеевич</v>
      </c>
      <c r="C45" s="38" t="str">
        <f>IFERROR(__xludf.DUMMYFUNCTION("""COMPUTED_VALUE"""),"Линии")</f>
        <v>Линии</v>
      </c>
      <c r="D45" s="39">
        <f>IFERROR(__xludf.DUMMYFUNCTION("""COMPUTED_VALUE"""),2.0)</f>
        <v>2</v>
      </c>
      <c r="E45" s="39">
        <f>IFERROR(__xludf.DUMMYFUNCTION("""COMPUTED_VALUE"""),3.0)</f>
        <v>3</v>
      </c>
    </row>
    <row r="46">
      <c r="A46" s="38">
        <f>IFERROR(__xludf.DUMMYFUNCTION("""COMPUTED_VALUE"""),21975.0)</f>
        <v>21975</v>
      </c>
      <c r="B46" s="38" t="str">
        <f>IFERROR(__xludf.DUMMYFUNCTION("""COMPUTED_VALUE"""),"Ларионова Ольга Александровна")</f>
        <v>Ларионова Ольга Александровна</v>
      </c>
      <c r="C46" s="38" t="str">
        <f>IFERROR(__xludf.DUMMYFUNCTION("""COMPUTED_VALUE"""),"Тестирования")</f>
        <v>Тестирования</v>
      </c>
      <c r="D46" s="39">
        <f>IFERROR(__xludf.DUMMYFUNCTION("""COMPUTED_VALUE"""),1.0)</f>
        <v>1</v>
      </c>
      <c r="E46" s="39">
        <f>IFERROR(__xludf.DUMMYFUNCTION("""COMPUTED_VALUE"""),4.0)</f>
        <v>4</v>
      </c>
    </row>
    <row r="47">
      <c r="A47" s="38">
        <f>IFERROR(__xludf.DUMMYFUNCTION("""COMPUTED_VALUE"""),22228.0)</f>
        <v>22228</v>
      </c>
      <c r="B47" s="38" t="str">
        <f>IFERROR(__xludf.DUMMYFUNCTION("""COMPUTED_VALUE"""),"Левченко Алёна Евгеньевна")</f>
        <v>Левченко Алёна Евгеньевна</v>
      </c>
      <c r="C47" s="38" t="str">
        <f>IFERROR(__xludf.DUMMYFUNCTION("""COMPUTED_VALUE"""),"")</f>
        <v/>
      </c>
      <c r="D47" s="39" t="str">
        <f>IFERROR(__xludf.DUMMYFUNCTION("""COMPUTED_VALUE"""),"")</f>
        <v/>
      </c>
      <c r="E47" s="39" t="str">
        <f>IFERROR(__xludf.DUMMYFUNCTION("""COMPUTED_VALUE"""),"")</f>
        <v/>
      </c>
    </row>
    <row r="48">
      <c r="A48" s="38">
        <f>IFERROR(__xludf.DUMMYFUNCTION("""COMPUTED_VALUE"""),22521.0)</f>
        <v>22521</v>
      </c>
      <c r="B48" s="38" t="str">
        <f>IFERROR(__xludf.DUMMYFUNCTION("""COMPUTED_VALUE"""),"Лукашов Кирилл Дмитриевич")</f>
        <v>Лукашов Кирилл Дмитриевич</v>
      </c>
      <c r="C48" s="38" t="str">
        <f>IFERROR(__xludf.DUMMYFUNCTION("""COMPUTED_VALUE"""),"")</f>
        <v/>
      </c>
      <c r="D48" s="39" t="str">
        <f>IFERROR(__xludf.DUMMYFUNCTION("""COMPUTED_VALUE"""),"")</f>
        <v/>
      </c>
      <c r="E48" s="39" t="str">
        <f>IFERROR(__xludf.DUMMYFUNCTION("""COMPUTED_VALUE"""),"")</f>
        <v/>
      </c>
    </row>
    <row r="49">
      <c r="A49" s="38">
        <f>IFERROR(__xludf.DUMMYFUNCTION("""COMPUTED_VALUE"""),21681.0)</f>
        <v>21681</v>
      </c>
      <c r="B49" s="38" t="str">
        <f>IFERROR(__xludf.DUMMYFUNCTION("""COMPUTED_VALUE"""),"Макаров Евгений Валерьевич")</f>
        <v>Макаров Евгений Валерьевич</v>
      </c>
      <c r="C49" s="38" t="str">
        <f>IFERROR(__xludf.DUMMYFUNCTION("""COMPUTED_VALUE"""),"Монтажный")</f>
        <v>Монтажный</v>
      </c>
      <c r="D49" s="39">
        <f>IFERROR(__xludf.DUMMYFUNCTION("""COMPUTED_VALUE"""),2.0)</f>
        <v>2</v>
      </c>
      <c r="E49" s="39">
        <f>IFERROR(__xludf.DUMMYFUNCTION("""COMPUTED_VALUE"""),4.0)</f>
        <v>4</v>
      </c>
    </row>
    <row r="50">
      <c r="A50" s="38">
        <f>IFERROR(__xludf.DUMMYFUNCTION("""COMPUTED_VALUE"""),20684.0)</f>
        <v>20684</v>
      </c>
      <c r="B50" s="38" t="str">
        <f>IFERROR(__xludf.DUMMYFUNCTION("""COMPUTED_VALUE"""),"Макеев Евгений Владимирович")</f>
        <v>Макеев Евгений Владимирович</v>
      </c>
      <c r="C50" s="38" t="str">
        <f>IFERROR(__xludf.DUMMYFUNCTION("""COMPUTED_VALUE"""),"Руковод")</f>
        <v>Руковод</v>
      </c>
      <c r="D50" s="39">
        <f>IFERROR(__xludf.DUMMYFUNCTION("""COMPUTED_VALUE"""),4.0)</f>
        <v>4</v>
      </c>
      <c r="E50" s="39">
        <f>IFERROR(__xludf.DUMMYFUNCTION("""COMPUTED_VALUE"""),10.0)</f>
        <v>10</v>
      </c>
    </row>
    <row r="51">
      <c r="A51" s="38">
        <f>IFERROR(__xludf.DUMMYFUNCTION("""COMPUTED_VALUE"""),21532.0)</f>
        <v>21532</v>
      </c>
      <c r="B51" s="38" t="str">
        <f>IFERROR(__xludf.DUMMYFUNCTION("""COMPUTED_VALUE"""),"Макеева Наталия Владимировна")</f>
        <v>Макеева Наталия Владимировна</v>
      </c>
      <c r="C51" s="38" t="str">
        <f>IFERROR(__xludf.DUMMYFUNCTION("""COMPUTED_VALUE"""),"")</f>
        <v/>
      </c>
      <c r="D51" s="39" t="str">
        <f>IFERROR(__xludf.DUMMYFUNCTION("""COMPUTED_VALUE"""),"")</f>
        <v/>
      </c>
      <c r="E51" s="39" t="str">
        <f>IFERROR(__xludf.DUMMYFUNCTION("""COMPUTED_VALUE"""),"")</f>
        <v/>
      </c>
    </row>
    <row r="52">
      <c r="A52" s="38">
        <f>IFERROR(__xludf.DUMMYFUNCTION("""COMPUTED_VALUE"""),22511.0)</f>
        <v>22511</v>
      </c>
      <c r="B52" s="38" t="str">
        <f>IFERROR(__xludf.DUMMYFUNCTION("""COMPUTED_VALUE"""),"Мартемьянов Виталий Максимович")</f>
        <v>Мартемьянов Виталий Максимович</v>
      </c>
      <c r="C52" s="38" t="str">
        <f>IFERROR(__xludf.DUMMYFUNCTION("""COMPUTED_VALUE"""),"Монтажный")</f>
        <v>Монтажный</v>
      </c>
      <c r="D52" s="39">
        <f>IFERROR(__xludf.DUMMYFUNCTION("""COMPUTED_VALUE"""),4.0)</f>
        <v>4</v>
      </c>
      <c r="E52" s="39">
        <f>IFERROR(__xludf.DUMMYFUNCTION("""COMPUTED_VALUE"""),1.0)</f>
        <v>1</v>
      </c>
    </row>
    <row r="53">
      <c r="A53" s="38">
        <f>IFERROR(__xludf.DUMMYFUNCTION("""COMPUTED_VALUE"""),21451.0)</f>
        <v>21451</v>
      </c>
      <c r="B53" s="38" t="str">
        <f>IFERROR(__xludf.DUMMYFUNCTION("""COMPUTED_VALUE"""),"Матвеев Антон Викторович")</f>
        <v>Матвеев Антон Викторович</v>
      </c>
      <c r="C53" s="38" t="str">
        <f>IFERROR(__xludf.DUMMYFUNCTION("""COMPUTED_VALUE"""),"Монтажный")</f>
        <v>Монтажный</v>
      </c>
      <c r="D53" s="39">
        <f>IFERROR(__xludf.DUMMYFUNCTION("""COMPUTED_VALUE"""),4.0)</f>
        <v>4</v>
      </c>
      <c r="E53" s="39">
        <f>IFERROR(__xludf.DUMMYFUNCTION("""COMPUTED_VALUE"""),5.0)</f>
        <v>5</v>
      </c>
    </row>
    <row r="54">
      <c r="A54" s="38">
        <f>IFERROR(__xludf.DUMMYFUNCTION("""COMPUTED_VALUE"""),22593.0)</f>
        <v>22593</v>
      </c>
      <c r="B54" s="38" t="str">
        <f>IFERROR(__xludf.DUMMYFUNCTION("""COMPUTED_VALUE"""),"Михайлов Александр Олегович")</f>
        <v>Михайлов Александр Олегович</v>
      </c>
      <c r="C54" s="38" t="str">
        <f>IFERROR(__xludf.DUMMYFUNCTION("""COMPUTED_VALUE"""),"Монтажный")</f>
        <v>Монтажный</v>
      </c>
      <c r="D54" s="39">
        <f>IFERROR(__xludf.DUMMYFUNCTION("""COMPUTED_VALUE"""),2.0)</f>
        <v>2</v>
      </c>
      <c r="E54" s="39">
        <f>IFERROR(__xludf.DUMMYFUNCTION("""COMPUTED_VALUE"""),1.0)</f>
        <v>1</v>
      </c>
    </row>
    <row r="55">
      <c r="A55" s="38">
        <f>IFERROR(__xludf.DUMMYFUNCTION("""COMPUTED_VALUE"""),22267.0)</f>
        <v>22267</v>
      </c>
      <c r="B55" s="38" t="str">
        <f>IFERROR(__xludf.DUMMYFUNCTION("""COMPUTED_VALUE"""),"Мицковский Илья Олегович")</f>
        <v>Мицковский Илья Олегович</v>
      </c>
      <c r="C55" s="38" t="str">
        <f>IFERROR(__xludf.DUMMYFUNCTION("""COMPUTED_VALUE"""),"Тестирования")</f>
        <v>Тестирования</v>
      </c>
      <c r="D55" s="39">
        <f>IFERROR(__xludf.DUMMYFUNCTION("""COMPUTED_VALUE"""),2.0)</f>
        <v>2</v>
      </c>
      <c r="E55" s="39">
        <f>IFERROR(__xludf.DUMMYFUNCTION("""COMPUTED_VALUE"""),3.0)</f>
        <v>3</v>
      </c>
    </row>
    <row r="56">
      <c r="A56" s="38">
        <f>IFERROR(__xludf.DUMMYFUNCTION("""COMPUTED_VALUE"""),22615.0)</f>
        <v>22615</v>
      </c>
      <c r="B56" s="38" t="str">
        <f>IFERROR(__xludf.DUMMYFUNCTION("""COMPUTED_VALUE"""),"Мордвинцева Юлия Алексеевна")</f>
        <v>Мордвинцева Юлия Алексеевна</v>
      </c>
      <c r="C56" s="38" t="str">
        <f>IFERROR(__xludf.DUMMYFUNCTION("""COMPUTED_VALUE"""),"Тестирования")</f>
        <v>Тестирования</v>
      </c>
      <c r="D56" s="39">
        <f>IFERROR(__xludf.DUMMYFUNCTION("""COMPUTED_VALUE"""),1.0)</f>
        <v>1</v>
      </c>
      <c r="E56" s="39">
        <f>IFERROR(__xludf.DUMMYFUNCTION("""COMPUTED_VALUE"""),1.0)</f>
        <v>1</v>
      </c>
    </row>
    <row r="57">
      <c r="A57" s="38">
        <f>IFERROR(__xludf.DUMMYFUNCTION("""COMPUTED_VALUE"""),21171.0)</f>
        <v>21171</v>
      </c>
      <c r="B57" s="38" t="str">
        <f>IFERROR(__xludf.DUMMYFUNCTION("""COMPUTED_VALUE"""),"Муртищева Ольга Валентиновна")</f>
        <v>Муртищева Ольга Валентиновна</v>
      </c>
      <c r="C57" s="38" t="str">
        <f>IFERROR(__xludf.DUMMYFUNCTION("""COMPUTED_VALUE"""),"Линии")</f>
        <v>Линии</v>
      </c>
      <c r="D57" s="39">
        <f>IFERROR(__xludf.DUMMYFUNCTION("""COMPUTED_VALUE"""),2.0)</f>
        <v>2</v>
      </c>
      <c r="E57" s="39">
        <f>IFERROR(__xludf.DUMMYFUNCTION("""COMPUTED_VALUE"""),4.0)</f>
        <v>4</v>
      </c>
    </row>
    <row r="58">
      <c r="A58" s="38">
        <f>IFERROR(__xludf.DUMMYFUNCTION("""COMPUTED_VALUE"""),20985.0)</f>
        <v>20985</v>
      </c>
      <c r="B58" s="38" t="str">
        <f>IFERROR(__xludf.DUMMYFUNCTION("""COMPUTED_VALUE"""),"Никонорова Наталия Владимировна")</f>
        <v>Никонорова Наталия Владимировна</v>
      </c>
      <c r="C58" s="38" t="str">
        <f>IFERROR(__xludf.DUMMYFUNCTION("""COMPUTED_VALUE"""),"Линии")</f>
        <v>Линии</v>
      </c>
      <c r="D58" s="39">
        <f>IFERROR(__xludf.DUMMYFUNCTION("""COMPUTED_VALUE"""),2.0)</f>
        <v>2</v>
      </c>
      <c r="E58" s="39">
        <f>IFERROR(__xludf.DUMMYFUNCTION("""COMPUTED_VALUE"""),5.0)</f>
        <v>5</v>
      </c>
    </row>
    <row r="59">
      <c r="A59" s="38">
        <f>IFERROR(__xludf.DUMMYFUNCTION("""COMPUTED_VALUE"""),20622.0)</f>
        <v>20622</v>
      </c>
      <c r="B59" s="38" t="str">
        <f>IFERROR(__xludf.DUMMYFUNCTION("""COMPUTED_VALUE"""),"Певцова Татьяна Валентиновна")</f>
        <v>Певцова Татьяна Валентиновна</v>
      </c>
      <c r="C59" s="38" t="str">
        <f>IFERROR(__xludf.DUMMYFUNCTION("""COMPUTED_VALUE"""),"Монтажный")</f>
        <v>Монтажный</v>
      </c>
      <c r="D59" s="39">
        <f>IFERROR(__xludf.DUMMYFUNCTION("""COMPUTED_VALUE"""),1.0)</f>
        <v>1</v>
      </c>
      <c r="E59" s="39">
        <f>IFERROR(__xludf.DUMMYFUNCTION("""COMPUTED_VALUE"""),5.0)</f>
        <v>5</v>
      </c>
    </row>
    <row r="60">
      <c r="A60" s="38">
        <f>IFERROR(__xludf.DUMMYFUNCTION("""COMPUTED_VALUE"""),20106.0)</f>
        <v>20106</v>
      </c>
      <c r="B60" s="38" t="str">
        <f>IFERROR(__xludf.DUMMYFUNCTION("""COMPUTED_VALUE"""),"Перов Василий Евгеньевич")</f>
        <v>Перов Василий Евгеньевич</v>
      </c>
      <c r="C60" s="38" t="str">
        <f>IFERROR(__xludf.DUMMYFUNCTION("""COMPUTED_VALUE"""),"Тестирования")</f>
        <v>Тестирования</v>
      </c>
      <c r="D60" s="39">
        <f>IFERROR(__xludf.DUMMYFUNCTION("""COMPUTED_VALUE"""),2.0)</f>
        <v>2</v>
      </c>
      <c r="E60" s="39">
        <f>IFERROR(__xludf.DUMMYFUNCTION("""COMPUTED_VALUE"""),4.0)</f>
        <v>4</v>
      </c>
    </row>
    <row r="61">
      <c r="A61" s="38">
        <f>IFERROR(__xludf.DUMMYFUNCTION("""COMPUTED_VALUE"""),21852.0)</f>
        <v>21852</v>
      </c>
      <c r="B61" s="38" t="str">
        <f>IFERROR(__xludf.DUMMYFUNCTION("""COMPUTED_VALUE"""),"Пономарев Юрий Андреевич")</f>
        <v>Пономарев Юрий Андреевич</v>
      </c>
      <c r="C61" s="38" t="str">
        <f>IFERROR(__xludf.DUMMYFUNCTION("""COMPUTED_VALUE"""),"Линии")</f>
        <v>Линии</v>
      </c>
      <c r="D61" s="39">
        <f>IFERROR(__xludf.DUMMYFUNCTION("""COMPUTED_VALUE"""),1.0)</f>
        <v>1</v>
      </c>
      <c r="E61" s="39">
        <f>IFERROR(__xludf.DUMMYFUNCTION("""COMPUTED_VALUE"""),4.0)</f>
        <v>4</v>
      </c>
    </row>
    <row r="62">
      <c r="A62" s="38">
        <f>IFERROR(__xludf.DUMMYFUNCTION("""COMPUTED_VALUE"""),20134.0)</f>
        <v>20134</v>
      </c>
      <c r="B62" s="38" t="str">
        <f>IFERROR(__xludf.DUMMYFUNCTION("""COMPUTED_VALUE"""),"Раскатов Дмитрий Александрович")</f>
        <v>Раскатов Дмитрий Александрович</v>
      </c>
      <c r="C62" s="38" t="str">
        <f>IFERROR(__xludf.DUMMYFUNCTION("""COMPUTED_VALUE"""),"Тестирования")</f>
        <v>Тестирования</v>
      </c>
      <c r="D62" s="39">
        <f>IFERROR(__xludf.DUMMYFUNCTION("""COMPUTED_VALUE"""),1.0)</f>
        <v>1</v>
      </c>
      <c r="E62" s="39">
        <f>IFERROR(__xludf.DUMMYFUNCTION("""COMPUTED_VALUE"""),4.0)</f>
        <v>4</v>
      </c>
    </row>
    <row r="63">
      <c r="A63" s="38">
        <f>IFERROR(__xludf.DUMMYFUNCTION("""COMPUTED_VALUE"""),21610.0)</f>
        <v>21610</v>
      </c>
      <c r="B63" s="38" t="str">
        <f>IFERROR(__xludf.DUMMYFUNCTION("""COMPUTED_VALUE"""),"Резенько")</f>
        <v>Резенько</v>
      </c>
      <c r="C63" s="38" t="str">
        <f>IFERROR(__xludf.DUMMYFUNCTION("""COMPUTED_VALUE"""),"")</f>
        <v/>
      </c>
      <c r="D63" s="39" t="str">
        <f>IFERROR(__xludf.DUMMYFUNCTION("""COMPUTED_VALUE"""),"")</f>
        <v/>
      </c>
      <c r="E63" s="39" t="str">
        <f>IFERROR(__xludf.DUMMYFUNCTION("""COMPUTED_VALUE"""),"")</f>
        <v/>
      </c>
    </row>
    <row r="64">
      <c r="A64" s="38">
        <f>IFERROR(__xludf.DUMMYFUNCTION("""COMPUTED_VALUE"""),22525.0)</f>
        <v>22525</v>
      </c>
      <c r="B64" s="38" t="str">
        <f>IFERROR(__xludf.DUMMYFUNCTION("""COMPUTED_VALUE"""),"Руднева Ксения Павловна")</f>
        <v>Руднева Ксения Павловна</v>
      </c>
      <c r="C64" s="38" t="str">
        <f>IFERROR(__xludf.DUMMYFUNCTION("""COMPUTED_VALUE"""),"Тестирования")</f>
        <v>Тестирования</v>
      </c>
      <c r="D64" s="39">
        <f>IFERROR(__xludf.DUMMYFUNCTION("""COMPUTED_VALUE"""),3.0)</f>
        <v>3</v>
      </c>
      <c r="E64" s="39">
        <f>IFERROR(__xludf.DUMMYFUNCTION("""COMPUTED_VALUE"""),2.0)</f>
        <v>2</v>
      </c>
    </row>
    <row r="65">
      <c r="A65" s="38">
        <f>IFERROR(__xludf.DUMMYFUNCTION("""COMPUTED_VALUE"""),21646.0)</f>
        <v>21646</v>
      </c>
      <c r="B65" s="38" t="str">
        <f>IFERROR(__xludf.DUMMYFUNCTION("""COMPUTED_VALUE"""),"Савенкова Екатерина Викторовна")</f>
        <v>Савенкова Екатерина Викторовна</v>
      </c>
      <c r="C65" s="38" t="str">
        <f>IFERROR(__xludf.DUMMYFUNCTION("""COMPUTED_VALUE"""),"Тестирования")</f>
        <v>Тестирования</v>
      </c>
      <c r="D65" s="39">
        <f>IFERROR(__xludf.DUMMYFUNCTION("""COMPUTED_VALUE"""),4.0)</f>
        <v>4</v>
      </c>
      <c r="E65" s="39">
        <f>IFERROR(__xludf.DUMMYFUNCTION("""COMPUTED_VALUE"""),4.0)</f>
        <v>4</v>
      </c>
    </row>
    <row r="66">
      <c r="A66" s="38">
        <f>IFERROR(__xludf.DUMMYFUNCTION("""COMPUTED_VALUE"""),21928.0)</f>
        <v>21928</v>
      </c>
      <c r="B66" s="38" t="str">
        <f>IFERROR(__xludf.DUMMYFUNCTION("""COMPUTED_VALUE"""),"Савченко Виктория Андреевна")</f>
        <v>Савченко Виктория Андреевна</v>
      </c>
      <c r="C66" s="38" t="str">
        <f>IFERROR(__xludf.DUMMYFUNCTION("""COMPUTED_VALUE"""),"Линии")</f>
        <v>Линии</v>
      </c>
      <c r="D66" s="39">
        <f>IFERROR(__xludf.DUMMYFUNCTION("""COMPUTED_VALUE"""),2.0)</f>
        <v>2</v>
      </c>
      <c r="E66" s="39">
        <f>IFERROR(__xludf.DUMMYFUNCTION("""COMPUTED_VALUE"""),4.0)</f>
        <v>4</v>
      </c>
    </row>
    <row r="67">
      <c r="A67" s="38">
        <f>IFERROR(__xludf.DUMMYFUNCTION("""COMPUTED_VALUE"""),22633.0)</f>
        <v>22633</v>
      </c>
      <c r="B67" s="38" t="str">
        <f>IFERROR(__xludf.DUMMYFUNCTION("""COMPUTED_VALUE"""),"Сайфулина Альбина Ринатовна")</f>
        <v>Сайфулина Альбина Ринатовна</v>
      </c>
      <c r="C67" s="38" t="str">
        <f>IFERROR(__xludf.DUMMYFUNCTION("""COMPUTED_VALUE"""),"Тестирования")</f>
        <v>Тестирования</v>
      </c>
      <c r="D67" s="39">
        <f>IFERROR(__xludf.DUMMYFUNCTION("""COMPUTED_VALUE"""),2.0)</f>
        <v>2</v>
      </c>
      <c r="E67" s="39">
        <f>IFERROR(__xludf.DUMMYFUNCTION("""COMPUTED_VALUE"""),1.0)</f>
        <v>1</v>
      </c>
    </row>
    <row r="68">
      <c r="A68" s="38">
        <f>IFERROR(__xludf.DUMMYFUNCTION("""COMPUTED_VALUE"""),22523.0)</f>
        <v>22523</v>
      </c>
      <c r="B68" s="38" t="str">
        <f>IFERROR(__xludf.DUMMYFUNCTION("""COMPUTED_VALUE"""),"Саклаков Аркадий Николаевич")</f>
        <v>Саклаков Аркадий Николаевич</v>
      </c>
      <c r="C68" s="38" t="str">
        <f>IFERROR(__xludf.DUMMYFUNCTION("""COMPUTED_VALUE"""),"Монтажный")</f>
        <v>Монтажный</v>
      </c>
      <c r="D68" s="39">
        <f>IFERROR(__xludf.DUMMYFUNCTION("""COMPUTED_VALUE"""),1.0)</f>
        <v>1</v>
      </c>
      <c r="E68" s="39">
        <f>IFERROR(__xludf.DUMMYFUNCTION("""COMPUTED_VALUE"""),1.0)</f>
        <v>1</v>
      </c>
    </row>
    <row r="69">
      <c r="A69" s="38">
        <f>IFERROR(__xludf.DUMMYFUNCTION("""COMPUTED_VALUE"""),21921.0)</f>
        <v>21921</v>
      </c>
      <c r="B69" s="38" t="str">
        <f>IFERROR(__xludf.DUMMYFUNCTION("""COMPUTED_VALUE"""),"Сальков Виталий Александрович")</f>
        <v>Сальков Виталий Александрович</v>
      </c>
      <c r="C69" s="38" t="str">
        <f>IFERROR(__xludf.DUMMYFUNCTION("""COMPUTED_VALUE"""),"Руковод")</f>
        <v>Руковод</v>
      </c>
      <c r="D69" s="39">
        <f>IFERROR(__xludf.DUMMYFUNCTION("""COMPUTED_VALUE"""),3.0)</f>
        <v>3</v>
      </c>
      <c r="E69" s="39">
        <f>IFERROR(__xludf.DUMMYFUNCTION("""COMPUTED_VALUE"""),10.0)</f>
        <v>10</v>
      </c>
    </row>
    <row r="70">
      <c r="A70" s="38">
        <f>IFERROR(__xludf.DUMMYFUNCTION("""COMPUTED_VALUE"""),21416.0)</f>
        <v>21416</v>
      </c>
      <c r="B70" s="38" t="str">
        <f>IFERROR(__xludf.DUMMYFUNCTION("""COMPUTED_VALUE"""),"Семенов")</f>
        <v>Семенов</v>
      </c>
      <c r="C70" s="38" t="str">
        <f>IFERROR(__xludf.DUMMYFUNCTION("""COMPUTED_VALUE"""),"")</f>
        <v/>
      </c>
      <c r="D70" s="39" t="str">
        <f>IFERROR(__xludf.DUMMYFUNCTION("""COMPUTED_VALUE"""),"")</f>
        <v/>
      </c>
      <c r="E70" s="39" t="str">
        <f>IFERROR(__xludf.DUMMYFUNCTION("""COMPUTED_VALUE"""),"")</f>
        <v/>
      </c>
    </row>
    <row r="71">
      <c r="A71" s="38">
        <f>IFERROR(__xludf.DUMMYFUNCTION("""COMPUTED_VALUE"""),22011.0)</f>
        <v>22011</v>
      </c>
      <c r="B71" s="38" t="str">
        <f>IFERROR(__xludf.DUMMYFUNCTION("""COMPUTED_VALUE"""),"Сергеев Алексей Андреевич")</f>
        <v>Сергеев Алексей Андреевич</v>
      </c>
      <c r="C71" s="38" t="str">
        <f>IFERROR(__xludf.DUMMYFUNCTION("""COMPUTED_VALUE"""),"Линии")</f>
        <v>Линии</v>
      </c>
      <c r="D71" s="39">
        <f>IFERROR(__xludf.DUMMYFUNCTION("""COMPUTED_VALUE"""),2.0)</f>
        <v>2</v>
      </c>
      <c r="E71" s="39">
        <f>IFERROR(__xludf.DUMMYFUNCTION("""COMPUTED_VALUE"""),4.0)</f>
        <v>4</v>
      </c>
    </row>
    <row r="72">
      <c r="A72" s="38">
        <f>IFERROR(__xludf.DUMMYFUNCTION("""COMPUTED_VALUE"""),20986.0)</f>
        <v>20986</v>
      </c>
      <c r="B72" s="38" t="str">
        <f>IFERROR(__xludf.DUMMYFUNCTION("""COMPUTED_VALUE"""),"Сибатулина Наталья Николаевна")</f>
        <v>Сибатулина Наталья Николаевна</v>
      </c>
      <c r="C72" s="38" t="str">
        <f>IFERROR(__xludf.DUMMYFUNCTION("""COMPUTED_VALUE"""),"Монтажный")</f>
        <v>Монтажный</v>
      </c>
      <c r="D72" s="39">
        <f>IFERROR(__xludf.DUMMYFUNCTION("""COMPUTED_VALUE"""),2.0)</f>
        <v>2</v>
      </c>
      <c r="E72" s="39">
        <f>IFERROR(__xludf.DUMMYFUNCTION("""COMPUTED_VALUE"""),5.0)</f>
        <v>5</v>
      </c>
    </row>
    <row r="73">
      <c r="A73" s="38">
        <f>IFERROR(__xludf.DUMMYFUNCTION("""COMPUTED_VALUE"""),21971.0)</f>
        <v>21971</v>
      </c>
      <c r="B73" s="38" t="str">
        <f>IFERROR(__xludf.DUMMYFUNCTION("""COMPUTED_VALUE"""),"Сидельников")</f>
        <v>Сидельников</v>
      </c>
      <c r="C73" s="38" t="str">
        <f>IFERROR(__xludf.DUMMYFUNCTION("""COMPUTED_VALUE"""),"")</f>
        <v/>
      </c>
      <c r="D73" s="39" t="str">
        <f>IFERROR(__xludf.DUMMYFUNCTION("""COMPUTED_VALUE"""),"")</f>
        <v/>
      </c>
      <c r="E73" s="39" t="str">
        <f>IFERROR(__xludf.DUMMYFUNCTION("""COMPUTED_VALUE"""),"")</f>
        <v/>
      </c>
    </row>
    <row r="74">
      <c r="A74" s="38">
        <f>IFERROR(__xludf.DUMMYFUNCTION("""COMPUTED_VALUE"""),21772.0)</f>
        <v>21772</v>
      </c>
      <c r="B74" s="38" t="str">
        <f>IFERROR(__xludf.DUMMYFUNCTION("""COMPUTED_VALUE"""),"Сизова")</f>
        <v>Сизова</v>
      </c>
      <c r="C74" s="38" t="str">
        <f>IFERROR(__xludf.DUMMYFUNCTION("""COMPUTED_VALUE"""),"")</f>
        <v/>
      </c>
      <c r="D74" s="39" t="str">
        <f>IFERROR(__xludf.DUMMYFUNCTION("""COMPUTED_VALUE"""),"")</f>
        <v/>
      </c>
      <c r="E74" s="39" t="str">
        <f>IFERROR(__xludf.DUMMYFUNCTION("""COMPUTED_VALUE"""),"")</f>
        <v/>
      </c>
    </row>
    <row r="75">
      <c r="A75" s="38">
        <f>IFERROR(__xludf.DUMMYFUNCTION("""COMPUTED_VALUE"""),21426.0)</f>
        <v>21426</v>
      </c>
      <c r="B75" s="38" t="str">
        <f>IFERROR(__xludf.DUMMYFUNCTION("""COMPUTED_VALUE"""),"Скибинский Антон Германович")</f>
        <v>Скибинский Антон Германович</v>
      </c>
      <c r="C75" s="38" t="str">
        <f>IFERROR(__xludf.DUMMYFUNCTION("""COMPUTED_VALUE"""),"Линии")</f>
        <v>Линии</v>
      </c>
      <c r="D75" s="39">
        <f>IFERROR(__xludf.DUMMYFUNCTION("""COMPUTED_VALUE"""),2.0)</f>
        <v>2</v>
      </c>
      <c r="E75" s="39">
        <f>IFERROR(__xludf.DUMMYFUNCTION("""COMPUTED_VALUE"""),5.0)</f>
        <v>5</v>
      </c>
    </row>
    <row r="76">
      <c r="A76" s="38">
        <f>IFERROR(__xludf.DUMMYFUNCTION("""COMPUTED_VALUE"""),21901.0)</f>
        <v>21901</v>
      </c>
      <c r="B76" s="38" t="str">
        <f>IFERROR(__xludf.DUMMYFUNCTION("""COMPUTED_VALUE"""),"Смирнов Андрей Викторович")</f>
        <v>Смирнов Андрей Викторович</v>
      </c>
      <c r="C76" s="38" t="str">
        <f>IFERROR(__xludf.DUMMYFUNCTION("""COMPUTED_VALUE"""),"")</f>
        <v/>
      </c>
      <c r="D76" s="39" t="str">
        <f>IFERROR(__xludf.DUMMYFUNCTION("""COMPUTED_VALUE"""),"")</f>
        <v/>
      </c>
      <c r="E76" s="39" t="str">
        <f>IFERROR(__xludf.DUMMYFUNCTION("""COMPUTED_VALUE"""),"")</f>
        <v/>
      </c>
    </row>
    <row r="77">
      <c r="A77" s="38">
        <f>IFERROR(__xludf.DUMMYFUNCTION("""COMPUTED_VALUE"""),22051.0)</f>
        <v>22051</v>
      </c>
      <c r="B77" s="38" t="str">
        <f>IFERROR(__xludf.DUMMYFUNCTION("""COMPUTED_VALUE"""),"Смирнов Сергей Юрьевич")</f>
        <v>Смирнов Сергей Юрьевич</v>
      </c>
      <c r="C77" s="38" t="str">
        <f>IFERROR(__xludf.DUMMYFUNCTION("""COMPUTED_VALUE"""),"")</f>
        <v/>
      </c>
      <c r="D77" s="39" t="str">
        <f>IFERROR(__xludf.DUMMYFUNCTION("""COMPUTED_VALUE"""),"")</f>
        <v/>
      </c>
      <c r="E77" s="39" t="str">
        <f>IFERROR(__xludf.DUMMYFUNCTION("""COMPUTED_VALUE"""),"")</f>
        <v/>
      </c>
    </row>
    <row r="78">
      <c r="A78" s="38">
        <f>IFERROR(__xludf.DUMMYFUNCTION("""COMPUTED_VALUE"""),19871.0)</f>
        <v>19871</v>
      </c>
      <c r="B78" s="38" t="str">
        <f>IFERROR(__xludf.DUMMYFUNCTION("""COMPUTED_VALUE"""),"Сошин Вадим Викторович")</f>
        <v>Сошин Вадим Викторович</v>
      </c>
      <c r="C78" s="38" t="str">
        <f>IFERROR(__xludf.DUMMYFUNCTION("""COMPUTED_VALUE"""),"Тестирования")</f>
        <v>Тестирования</v>
      </c>
      <c r="D78" s="39">
        <f>IFERROR(__xludf.DUMMYFUNCTION("""COMPUTED_VALUE"""),4.0)</f>
        <v>4</v>
      </c>
      <c r="E78" s="39">
        <f>IFERROR(__xludf.DUMMYFUNCTION("""COMPUTED_VALUE"""),4.0)</f>
        <v>4</v>
      </c>
    </row>
    <row r="79">
      <c r="A79" s="38">
        <f>IFERROR(__xludf.DUMMYFUNCTION("""COMPUTED_VALUE"""),22131.0)</f>
        <v>22131</v>
      </c>
      <c r="B79" s="38" t="str">
        <f>IFERROR(__xludf.DUMMYFUNCTION("""COMPUTED_VALUE"""),"Стосик Степан Владимирович")</f>
        <v>Стосик Степан Владимирович</v>
      </c>
      <c r="C79" s="38" t="str">
        <f>IFERROR(__xludf.DUMMYFUNCTION("""COMPUTED_VALUE"""),"Линии")</f>
        <v>Линии</v>
      </c>
      <c r="D79" s="39">
        <f>IFERROR(__xludf.DUMMYFUNCTION("""COMPUTED_VALUE"""),2.0)</f>
        <v>2</v>
      </c>
      <c r="E79" s="39">
        <f>IFERROR(__xludf.DUMMYFUNCTION("""COMPUTED_VALUE"""),5.0)</f>
        <v>5</v>
      </c>
    </row>
    <row r="80">
      <c r="A80" s="38">
        <f>IFERROR(__xludf.DUMMYFUNCTION("""COMPUTED_VALUE"""),20759.0)</f>
        <v>20759</v>
      </c>
      <c r="B80" s="38" t="str">
        <f>IFERROR(__xludf.DUMMYFUNCTION("""COMPUTED_VALUE"""),"Ступкин Сергей Александрович")</f>
        <v>Ступкин Сергей Александрович</v>
      </c>
      <c r="C80" s="38" t="str">
        <f>IFERROR(__xludf.DUMMYFUNCTION("""COMPUTED_VALUE"""),"Монтажный")</f>
        <v>Монтажный</v>
      </c>
      <c r="D80" s="39">
        <f>IFERROR(__xludf.DUMMYFUNCTION("""COMPUTED_VALUE"""),2.0)</f>
        <v>2</v>
      </c>
      <c r="E80" s="39">
        <f>IFERROR(__xludf.DUMMYFUNCTION("""COMPUTED_VALUE"""),5.0)</f>
        <v>5</v>
      </c>
    </row>
    <row r="81">
      <c r="A81" s="38">
        <f>IFERROR(__xludf.DUMMYFUNCTION("""COMPUTED_VALUE"""),22592.0)</f>
        <v>22592</v>
      </c>
      <c r="B81" s="38" t="str">
        <f>IFERROR(__xludf.DUMMYFUNCTION("""COMPUTED_VALUE"""),"Судаков Владимир Андреевич")</f>
        <v>Судаков Владимир Андреевич</v>
      </c>
      <c r="C81" s="38" t="str">
        <f>IFERROR(__xludf.DUMMYFUNCTION("""COMPUTED_VALUE"""),"Руковод")</f>
        <v>Руковод</v>
      </c>
      <c r="D81" s="39">
        <f>IFERROR(__xludf.DUMMYFUNCTION("""COMPUTED_VALUE"""),1.0)</f>
        <v>1</v>
      </c>
      <c r="E81" s="39">
        <f>IFERROR(__xludf.DUMMYFUNCTION("""COMPUTED_VALUE"""),10.0)</f>
        <v>10</v>
      </c>
    </row>
    <row r="82">
      <c r="A82" s="38">
        <f>IFERROR(__xludf.DUMMYFUNCTION("""COMPUTED_VALUE"""),22299.0)</f>
        <v>22299</v>
      </c>
      <c r="B82" s="38" t="str">
        <f>IFERROR(__xludf.DUMMYFUNCTION("""COMPUTED_VALUE"""),"Табачинский Вадим")</f>
        <v>Табачинский Вадим</v>
      </c>
      <c r="C82" s="38" t="str">
        <f>IFERROR(__xludf.DUMMYFUNCTION("""COMPUTED_VALUE"""),"Тестирования")</f>
        <v>Тестирования</v>
      </c>
      <c r="D82" s="39">
        <f>IFERROR(__xludf.DUMMYFUNCTION("""COMPUTED_VALUE"""),2.0)</f>
        <v>2</v>
      </c>
      <c r="E82" s="39">
        <f>IFERROR(__xludf.DUMMYFUNCTION("""COMPUTED_VALUE"""),3.0)</f>
        <v>3</v>
      </c>
    </row>
    <row r="83">
      <c r="A83" s="38">
        <f>IFERROR(__xludf.DUMMYFUNCTION("""COMPUTED_VALUE"""),21798.0)</f>
        <v>21798</v>
      </c>
      <c r="B83" s="38" t="str">
        <f>IFERROR(__xludf.DUMMYFUNCTION("""COMPUTED_VALUE"""),"Толубаева")</f>
        <v>Толубаева</v>
      </c>
      <c r="C83" s="38" t="str">
        <f>IFERROR(__xludf.DUMMYFUNCTION("""COMPUTED_VALUE"""),"")</f>
        <v/>
      </c>
      <c r="D83" s="39" t="str">
        <f>IFERROR(__xludf.DUMMYFUNCTION("""COMPUTED_VALUE"""),"")</f>
        <v/>
      </c>
      <c r="E83" s="39" t="str">
        <f>IFERROR(__xludf.DUMMYFUNCTION("""COMPUTED_VALUE"""),"")</f>
        <v/>
      </c>
    </row>
    <row r="84">
      <c r="A84" s="38">
        <f>IFERROR(__xludf.DUMMYFUNCTION("""COMPUTED_VALUE"""),22133.0)</f>
        <v>22133</v>
      </c>
      <c r="B84" s="38" t="str">
        <f>IFERROR(__xludf.DUMMYFUNCTION("""COMPUTED_VALUE"""),"Трофименцев Виктор Сергеевич")</f>
        <v>Трофименцев Виктор Сергеевич</v>
      </c>
      <c r="C84" s="38" t="str">
        <f>IFERROR(__xludf.DUMMYFUNCTION("""COMPUTED_VALUE"""),"Тестирования")</f>
        <v>Тестирования</v>
      </c>
      <c r="D84" s="39">
        <f>IFERROR(__xludf.DUMMYFUNCTION("""COMPUTED_VALUE"""),1.0)</f>
        <v>1</v>
      </c>
      <c r="E84" s="39">
        <f>IFERROR(__xludf.DUMMYFUNCTION("""COMPUTED_VALUE"""),3.0)</f>
        <v>3</v>
      </c>
    </row>
    <row r="85">
      <c r="A85" s="38">
        <f>IFERROR(__xludf.DUMMYFUNCTION("""COMPUTED_VALUE"""),22642.0)</f>
        <v>22642</v>
      </c>
      <c r="B85" s="38" t="str">
        <f>IFERROR(__xludf.DUMMYFUNCTION("""COMPUTED_VALUE"""),"Турнаев Иван Александрович")</f>
        <v>Турнаев Иван Александрович</v>
      </c>
      <c r="C85" s="38" t="str">
        <f>IFERROR(__xludf.DUMMYFUNCTION("""COMPUTED_VALUE"""),"Тестирования")</f>
        <v>Тестирования</v>
      </c>
      <c r="D85" s="39">
        <f>IFERROR(__xludf.DUMMYFUNCTION("""COMPUTED_VALUE"""),1.0)</f>
        <v>1</v>
      </c>
      <c r="E85" s="39">
        <f>IFERROR(__xludf.DUMMYFUNCTION("""COMPUTED_VALUE"""),1.0)</f>
        <v>1</v>
      </c>
    </row>
    <row r="86">
      <c r="A86" s="38">
        <f>IFERROR(__xludf.DUMMYFUNCTION("""COMPUTED_VALUE"""),21037.0)</f>
        <v>21037</v>
      </c>
      <c r="B86" s="38" t="str">
        <f>IFERROR(__xludf.DUMMYFUNCTION("""COMPUTED_VALUE"""),"Федорина Ирина Владимировна")</f>
        <v>Федорина Ирина Владимировна</v>
      </c>
      <c r="C86" s="38" t="str">
        <f>IFERROR(__xludf.DUMMYFUNCTION("""COMPUTED_VALUE"""),"")</f>
        <v/>
      </c>
      <c r="D86" s="39" t="str">
        <f>IFERROR(__xludf.DUMMYFUNCTION("""COMPUTED_VALUE"""),"")</f>
        <v/>
      </c>
      <c r="E86" s="39" t="str">
        <f>IFERROR(__xludf.DUMMYFUNCTION("""COMPUTED_VALUE"""),"")</f>
        <v/>
      </c>
    </row>
    <row r="87">
      <c r="A87" s="38">
        <f>IFERROR(__xludf.DUMMYFUNCTION("""COMPUTED_VALUE"""),20446.0)</f>
        <v>20446</v>
      </c>
      <c r="B87" s="38" t="str">
        <f>IFERROR(__xludf.DUMMYFUNCTION("""COMPUTED_VALUE"""),"Феоктистов")</f>
        <v>Феоктистов</v>
      </c>
      <c r="C87" s="38" t="str">
        <f>IFERROR(__xludf.DUMMYFUNCTION("""COMPUTED_VALUE"""),"")</f>
        <v/>
      </c>
      <c r="D87" s="39" t="str">
        <f>IFERROR(__xludf.DUMMYFUNCTION("""COMPUTED_VALUE"""),"")</f>
        <v/>
      </c>
      <c r="E87" s="39" t="str">
        <f>IFERROR(__xludf.DUMMYFUNCTION("""COMPUTED_VALUE"""),"")</f>
        <v/>
      </c>
    </row>
    <row r="88">
      <c r="A88" s="40">
        <f>IFERROR(__xludf.DUMMYFUNCTION("""COMPUTED_VALUE"""),21552.0)</f>
        <v>21552</v>
      </c>
      <c r="B88" s="40" t="str">
        <f>IFERROR(__xludf.DUMMYFUNCTION("""COMPUTED_VALUE"""),"Фоменко")</f>
        <v>Фоменко</v>
      </c>
      <c r="C88" s="40" t="str">
        <f>IFERROR(__xludf.DUMMYFUNCTION("""COMPUTED_VALUE"""),"")</f>
        <v/>
      </c>
      <c r="D88" s="11" t="str">
        <f>IFERROR(__xludf.DUMMYFUNCTION("""COMPUTED_VALUE"""),"")</f>
        <v/>
      </c>
      <c r="E88" s="11" t="str">
        <f>IFERROR(__xludf.DUMMYFUNCTION("""COMPUTED_VALUE"""),"")</f>
        <v/>
      </c>
    </row>
    <row r="89">
      <c r="A89" s="40">
        <f>IFERROR(__xludf.DUMMYFUNCTION("""COMPUTED_VALUE"""),22087.0)</f>
        <v>22087</v>
      </c>
      <c r="B89" s="40" t="str">
        <f>IFERROR(__xludf.DUMMYFUNCTION("""COMPUTED_VALUE"""),"Хохряков Илья Александрович")</f>
        <v>Хохряков Илья Александрович</v>
      </c>
      <c r="C89" s="40" t="str">
        <f>IFERROR(__xludf.DUMMYFUNCTION("""COMPUTED_VALUE"""),"Линии")</f>
        <v>Линии</v>
      </c>
      <c r="D89" s="11">
        <f>IFERROR(__xludf.DUMMYFUNCTION("""COMPUTED_VALUE"""),2.0)</f>
        <v>2</v>
      </c>
      <c r="E89" s="11">
        <f>IFERROR(__xludf.DUMMYFUNCTION("""COMPUTED_VALUE"""),4.0)</f>
        <v>4</v>
      </c>
    </row>
    <row r="90">
      <c r="A90" s="40">
        <f>IFERROR(__xludf.DUMMYFUNCTION("""COMPUTED_VALUE"""),19558.0)</f>
        <v>19558</v>
      </c>
      <c r="B90" s="40" t="str">
        <f>IFERROR(__xludf.DUMMYFUNCTION("""COMPUTED_VALUE"""),"Цыганов Анатолий Николаевич")</f>
        <v>Цыганов Анатолий Николаевич</v>
      </c>
      <c r="C90" s="40" t="str">
        <f>IFERROR(__xludf.DUMMYFUNCTION("""COMPUTED_VALUE"""),"Монтажный")</f>
        <v>Монтажный</v>
      </c>
      <c r="D90" s="11">
        <f>IFERROR(__xludf.DUMMYFUNCTION("""COMPUTED_VALUE"""),1.0)</f>
        <v>1</v>
      </c>
      <c r="E90" s="11">
        <f>IFERROR(__xludf.DUMMYFUNCTION("""COMPUTED_VALUE"""),1.0)</f>
        <v>1</v>
      </c>
    </row>
    <row r="91">
      <c r="A91" s="40">
        <f>IFERROR(__xludf.DUMMYFUNCTION("""COMPUTED_VALUE"""),21435.0)</f>
        <v>21435</v>
      </c>
      <c r="B91" s="40" t="str">
        <f>IFERROR(__xludf.DUMMYFUNCTION("""COMPUTED_VALUE"""),"Шаманина Вера Юрьевна")</f>
        <v>Шаманина Вера Юрьевна</v>
      </c>
      <c r="C91" s="40" t="str">
        <f>IFERROR(__xludf.DUMMYFUNCTION("""COMPUTED_VALUE"""),"Тестирования")</f>
        <v>Тестирования</v>
      </c>
      <c r="D91" s="11">
        <f>IFERROR(__xludf.DUMMYFUNCTION("""COMPUTED_VALUE"""),1.0)</f>
        <v>1</v>
      </c>
      <c r="E91" s="11">
        <f>IFERROR(__xludf.DUMMYFUNCTION("""COMPUTED_VALUE"""),4.0)</f>
        <v>4</v>
      </c>
    </row>
    <row r="92">
      <c r="A92" s="40">
        <f>IFERROR(__xludf.DUMMYFUNCTION("""COMPUTED_VALUE"""),22574.0)</f>
        <v>22574</v>
      </c>
      <c r="B92" s="40" t="str">
        <f>IFERROR(__xludf.DUMMYFUNCTION("""COMPUTED_VALUE"""),"Шапенков Геннадий Михайлович")</f>
        <v>Шапенков Геннадий Михайлович</v>
      </c>
      <c r="C92" s="40" t="str">
        <f>IFERROR(__xludf.DUMMYFUNCTION("""COMPUTED_VALUE"""),"Линии")</f>
        <v>Линии</v>
      </c>
      <c r="D92" s="11">
        <f>IFERROR(__xludf.DUMMYFUNCTION("""COMPUTED_VALUE"""),1.0)</f>
        <v>1</v>
      </c>
      <c r="E92" s="11">
        <f>IFERROR(__xludf.DUMMYFUNCTION("""COMPUTED_VALUE"""),2.0)</f>
        <v>2</v>
      </c>
    </row>
    <row r="93">
      <c r="A93" s="40">
        <f>IFERROR(__xludf.DUMMYFUNCTION("""COMPUTED_VALUE"""),21452.0)</f>
        <v>21452</v>
      </c>
      <c r="B93" s="40" t="str">
        <f>IFERROR(__xludf.DUMMYFUNCTION("""COMPUTED_VALUE"""),"Шевель Вадим Вячеславович")</f>
        <v>Шевель Вадим Вячеславович</v>
      </c>
      <c r="C93" s="40" t="str">
        <f>IFERROR(__xludf.DUMMYFUNCTION("""COMPUTED_VALUE"""),"Монтажный")</f>
        <v>Монтажный</v>
      </c>
      <c r="D93" s="11">
        <f>IFERROR(__xludf.DUMMYFUNCTION("""COMPUTED_VALUE"""),4.0)</f>
        <v>4</v>
      </c>
      <c r="E93" s="11">
        <f>IFERROR(__xludf.DUMMYFUNCTION("""COMPUTED_VALUE"""),5.0)</f>
        <v>5</v>
      </c>
    </row>
    <row r="94">
      <c r="A94" s="40">
        <f>IFERROR(__xludf.DUMMYFUNCTION("""COMPUTED_VALUE"""),21927.0)</f>
        <v>21927</v>
      </c>
      <c r="B94" s="40" t="str">
        <f>IFERROR(__xludf.DUMMYFUNCTION("""COMPUTED_VALUE"""),"Шергин Родион Олегович")</f>
        <v>Шергин Родион Олегович</v>
      </c>
      <c r="C94" s="40" t="str">
        <f>IFERROR(__xludf.DUMMYFUNCTION("""COMPUTED_VALUE"""),"Линии")</f>
        <v>Линии</v>
      </c>
      <c r="D94" s="11">
        <f>IFERROR(__xludf.DUMMYFUNCTION("""COMPUTED_VALUE"""),1.0)</f>
        <v>1</v>
      </c>
      <c r="E94" s="11">
        <f>IFERROR(__xludf.DUMMYFUNCTION("""COMPUTED_VALUE"""),4.0)</f>
        <v>4</v>
      </c>
    </row>
    <row r="95">
      <c r="A95" s="40">
        <f>IFERROR(__xludf.DUMMYFUNCTION("""COMPUTED_VALUE"""),20849.0)</f>
        <v>20849</v>
      </c>
      <c r="B95" s="40" t="str">
        <f>IFERROR(__xludf.DUMMYFUNCTION("""COMPUTED_VALUE"""),"Шилоносов Максим Евгеньевич")</f>
        <v>Шилоносов Максим Евгеньевич</v>
      </c>
      <c r="C95" s="40" t="str">
        <f>IFERROR(__xludf.DUMMYFUNCTION("""COMPUTED_VALUE"""),"Линии")</f>
        <v>Линии</v>
      </c>
      <c r="D95" s="11">
        <f>IFERROR(__xludf.DUMMYFUNCTION("""COMPUTED_VALUE"""),1.0)</f>
        <v>1</v>
      </c>
      <c r="E95" s="11">
        <f>IFERROR(__xludf.DUMMYFUNCTION("""COMPUTED_VALUE"""),4.0)</f>
        <v>4</v>
      </c>
    </row>
    <row r="96">
      <c r="A96" s="40">
        <f>IFERROR(__xludf.DUMMYFUNCTION("""COMPUTED_VALUE"""),21422.0)</f>
        <v>21422</v>
      </c>
      <c r="B96" s="40" t="str">
        <f>IFERROR(__xludf.DUMMYFUNCTION("""COMPUTED_VALUE"""),"Шунулин")</f>
        <v>Шунулин</v>
      </c>
      <c r="C96" s="40" t="str">
        <f>IFERROR(__xludf.DUMMYFUNCTION("""COMPUTED_VALUE"""),"")</f>
        <v/>
      </c>
      <c r="D96" s="11" t="str">
        <f>IFERROR(__xludf.DUMMYFUNCTION("""COMPUTED_VALUE"""),"")</f>
        <v/>
      </c>
      <c r="E96" s="11" t="str">
        <f>IFERROR(__xludf.DUMMYFUNCTION("""COMPUTED_VALUE"""),"")</f>
        <v/>
      </c>
    </row>
    <row r="97">
      <c r="A97" s="40">
        <f>IFERROR(__xludf.DUMMYFUNCTION("""COMPUTED_VALUE"""),22507.0)</f>
        <v>22507</v>
      </c>
      <c r="B97" s="40" t="str">
        <f>IFERROR(__xludf.DUMMYFUNCTION("""COMPUTED_VALUE"""),"Щепочкин Максим Михайлович")</f>
        <v>Щепочкин Максим Михайлович</v>
      </c>
      <c r="C97" s="40" t="str">
        <f>IFERROR(__xludf.DUMMYFUNCTION("""COMPUTED_VALUE"""),"Монтажный")</f>
        <v>Монтажный</v>
      </c>
      <c r="D97" s="11">
        <f>IFERROR(__xludf.DUMMYFUNCTION("""COMPUTED_VALUE"""),3.0)</f>
        <v>3</v>
      </c>
      <c r="E97" s="11">
        <f>IFERROR(__xludf.DUMMYFUNCTION("""COMPUTED_VALUE"""),1.0)</f>
        <v>1</v>
      </c>
    </row>
    <row r="98">
      <c r="A98" s="40">
        <f>IFERROR(__xludf.DUMMYFUNCTION("""COMPUTED_VALUE"""),50000.0)</f>
        <v>50000</v>
      </c>
      <c r="B98" s="40" t="str">
        <f>IFERROR(__xludf.DUMMYFUNCTION("""COMPUTED_VALUE"""),"SMT")</f>
        <v>SMT</v>
      </c>
      <c r="C98" s="40" t="str">
        <f>IFERROR(__xludf.DUMMYFUNCTION("""COMPUTED_VALUE"""),"")</f>
        <v/>
      </c>
      <c r="D98" s="11" t="str">
        <f>IFERROR(__xludf.DUMMYFUNCTION("""COMPUTED_VALUE"""),"")</f>
        <v/>
      </c>
      <c r="E98" s="11" t="str">
        <f>IFERROR(__xludf.DUMMYFUNCTION("""COMPUTED_VALUE"""),"")</f>
        <v/>
      </c>
    </row>
    <row r="99">
      <c r="A99" s="40">
        <f>IFERROR(__xludf.DUMMYFUNCTION("""COMPUTED_VALUE"""),60000.0)</f>
        <v>60000</v>
      </c>
      <c r="B99" s="40" t="str">
        <f>IFERROR(__xludf.DUMMYFUNCTION("""COMPUTED_VALUE"""),"THT")</f>
        <v>THT</v>
      </c>
      <c r="C99" s="40" t="str">
        <f>IFERROR(__xludf.DUMMYFUNCTION("""COMPUTED_VALUE"""),"")</f>
        <v/>
      </c>
      <c r="D99" s="11" t="str">
        <f>IFERROR(__xludf.DUMMYFUNCTION("""COMPUTED_VALUE"""),"")</f>
        <v/>
      </c>
      <c r="E99" s="11" t="str">
        <f>IFERROR(__xludf.DUMMYFUNCTION("""COMPUTED_VALUE"""),"")</f>
        <v/>
      </c>
    </row>
    <row r="100">
      <c r="A100" s="40" t="str">
        <f>IFERROR(__xludf.DUMMYFUNCTION("""COMPUTED_VALUE"""),"")</f>
        <v/>
      </c>
      <c r="B100" s="40" t="str">
        <f>IFERROR(__xludf.DUMMYFUNCTION("""COMPUTED_VALUE"""),"")</f>
        <v/>
      </c>
      <c r="C100" s="40" t="str">
        <f>IFERROR(__xludf.DUMMYFUNCTION("""COMPUTED_VALUE"""),"")</f>
        <v/>
      </c>
      <c r="D100" s="11" t="str">
        <f>IFERROR(__xludf.DUMMYFUNCTION("""COMPUTED_VALUE"""),"")</f>
        <v/>
      </c>
      <c r="E100" s="11" t="str">
        <f>IFERROR(__xludf.DUMMYFUNCTION("""COMPUTED_VALUE"""),"")</f>
        <v/>
      </c>
    </row>
    <row r="101">
      <c r="D101" s="11"/>
      <c r="E101" s="11"/>
    </row>
    <row r="102">
      <c r="D102" s="11"/>
      <c r="E102" s="11"/>
    </row>
    <row r="103">
      <c r="D103" s="11"/>
      <c r="E103" s="11"/>
    </row>
    <row r="104">
      <c r="D104" s="11"/>
      <c r="E104" s="11"/>
    </row>
    <row r="105">
      <c r="D105" s="11"/>
      <c r="E105" s="11"/>
    </row>
    <row r="106">
      <c r="D106" s="11"/>
      <c r="E106" s="11"/>
    </row>
    <row r="107">
      <c r="D107" s="11"/>
      <c r="E107" s="11"/>
    </row>
    <row r="108">
      <c r="D108" s="11"/>
      <c r="E108" s="11"/>
    </row>
    <row r="109">
      <c r="D109" s="11"/>
      <c r="E109" s="11"/>
    </row>
    <row r="110">
      <c r="D110" s="11"/>
      <c r="E110" s="11"/>
    </row>
    <row r="111">
      <c r="D111" s="11"/>
      <c r="E111" s="11"/>
    </row>
    <row r="112">
      <c r="D112" s="11"/>
      <c r="E112" s="11"/>
    </row>
    <row r="113">
      <c r="D113" s="11"/>
      <c r="E113" s="11"/>
    </row>
    <row r="114">
      <c r="D114" s="11"/>
      <c r="E114" s="11"/>
    </row>
    <row r="115">
      <c r="D115" s="11"/>
      <c r="E115" s="11"/>
    </row>
    <row r="116">
      <c r="D116" s="11"/>
      <c r="E116" s="11"/>
    </row>
    <row r="117">
      <c r="D117" s="11"/>
      <c r="E117" s="11"/>
    </row>
    <row r="118">
      <c r="D118" s="11"/>
      <c r="E118" s="11"/>
    </row>
    <row r="119">
      <c r="D119" s="11"/>
      <c r="E119" s="11"/>
    </row>
    <row r="120">
      <c r="D120" s="11"/>
      <c r="E120" s="11"/>
    </row>
    <row r="121">
      <c r="D121" s="11"/>
      <c r="E121" s="11"/>
    </row>
    <row r="122">
      <c r="D122" s="11"/>
      <c r="E122" s="11"/>
    </row>
    <row r="123">
      <c r="D123" s="11"/>
      <c r="E123" s="11"/>
    </row>
    <row r="124">
      <c r="D124" s="11"/>
      <c r="E124" s="11"/>
    </row>
    <row r="125">
      <c r="D125" s="11"/>
      <c r="E125" s="11"/>
    </row>
    <row r="126">
      <c r="D126" s="11"/>
      <c r="E126" s="11"/>
    </row>
    <row r="127">
      <c r="D127" s="11"/>
      <c r="E127" s="11"/>
    </row>
    <row r="128">
      <c r="D128" s="11"/>
      <c r="E128" s="11"/>
    </row>
    <row r="129">
      <c r="D129" s="11"/>
      <c r="E129" s="11"/>
    </row>
    <row r="130">
      <c r="D130" s="11"/>
      <c r="E130" s="11"/>
    </row>
    <row r="131">
      <c r="D131" s="11"/>
      <c r="E131" s="11"/>
    </row>
    <row r="132">
      <c r="D132" s="11"/>
      <c r="E132" s="11"/>
    </row>
    <row r="133">
      <c r="D133" s="11"/>
      <c r="E133" s="11"/>
    </row>
    <row r="134">
      <c r="D134" s="11"/>
      <c r="E134" s="11"/>
    </row>
    <row r="135">
      <c r="D135" s="11"/>
      <c r="E135" s="11"/>
    </row>
    <row r="136">
      <c r="D136" s="11"/>
      <c r="E136" s="11"/>
    </row>
    <row r="137">
      <c r="D137" s="11"/>
      <c r="E137" s="11"/>
    </row>
    <row r="138">
      <c r="D138" s="11"/>
      <c r="E138" s="11"/>
    </row>
    <row r="139">
      <c r="D139" s="11"/>
      <c r="E139" s="11"/>
    </row>
    <row r="140">
      <c r="D140" s="11"/>
      <c r="E140" s="11"/>
    </row>
    <row r="141">
      <c r="D141" s="11"/>
      <c r="E141" s="11"/>
    </row>
    <row r="142">
      <c r="D142" s="11"/>
      <c r="E142" s="11"/>
    </row>
    <row r="143">
      <c r="D143" s="11"/>
      <c r="E143" s="11"/>
    </row>
    <row r="144">
      <c r="D144" s="11"/>
      <c r="E144" s="11"/>
    </row>
    <row r="145">
      <c r="D145" s="11"/>
      <c r="E145" s="11"/>
    </row>
    <row r="146">
      <c r="D146" s="11"/>
      <c r="E146" s="11"/>
    </row>
    <row r="147">
      <c r="D147" s="11"/>
      <c r="E147" s="11"/>
    </row>
    <row r="148">
      <c r="D148" s="11"/>
      <c r="E148" s="11"/>
    </row>
    <row r="149">
      <c r="D149" s="11"/>
      <c r="E149" s="11"/>
    </row>
    <row r="150">
      <c r="D150" s="11"/>
      <c r="E150" s="11"/>
    </row>
    <row r="151">
      <c r="D151" s="11"/>
      <c r="E151" s="11"/>
    </row>
    <row r="152">
      <c r="D152" s="11"/>
      <c r="E152" s="11"/>
    </row>
    <row r="153">
      <c r="D153" s="11"/>
      <c r="E153" s="11"/>
    </row>
    <row r="154">
      <c r="D154" s="11"/>
      <c r="E154" s="11"/>
    </row>
    <row r="155">
      <c r="D155" s="11"/>
      <c r="E155" s="11"/>
    </row>
    <row r="156">
      <c r="D156" s="11"/>
      <c r="E156" s="11"/>
    </row>
    <row r="157">
      <c r="D157" s="11"/>
      <c r="E157" s="11"/>
    </row>
    <row r="158">
      <c r="D158" s="11"/>
      <c r="E158" s="11"/>
    </row>
    <row r="159">
      <c r="D159" s="11"/>
      <c r="E159" s="11"/>
    </row>
    <row r="160">
      <c r="D160" s="11"/>
      <c r="E160" s="11"/>
    </row>
    <row r="161">
      <c r="D161" s="11"/>
      <c r="E161" s="11"/>
    </row>
    <row r="162">
      <c r="D162" s="11"/>
      <c r="E162" s="11"/>
    </row>
    <row r="163">
      <c r="D163" s="11"/>
      <c r="E163" s="11"/>
    </row>
    <row r="164">
      <c r="D164" s="11"/>
      <c r="E164" s="11"/>
    </row>
    <row r="165">
      <c r="D165" s="11"/>
      <c r="E165" s="11"/>
    </row>
    <row r="166">
      <c r="D166" s="11"/>
      <c r="E166" s="11"/>
    </row>
    <row r="167">
      <c r="D167" s="11"/>
      <c r="E167" s="11"/>
    </row>
    <row r="168">
      <c r="D168" s="11"/>
      <c r="E168" s="11"/>
    </row>
    <row r="169">
      <c r="D169" s="11"/>
      <c r="E169" s="11"/>
    </row>
    <row r="170">
      <c r="D170" s="11"/>
      <c r="E170" s="11"/>
    </row>
    <row r="171">
      <c r="D171" s="11"/>
      <c r="E171" s="11"/>
    </row>
    <row r="172">
      <c r="D172" s="11"/>
      <c r="E172" s="11"/>
    </row>
    <row r="173">
      <c r="D173" s="11"/>
      <c r="E173" s="11"/>
    </row>
    <row r="174">
      <c r="D174" s="11"/>
      <c r="E174" s="11"/>
    </row>
    <row r="175">
      <c r="D175" s="11"/>
      <c r="E175" s="11"/>
    </row>
    <row r="176">
      <c r="D176" s="11"/>
      <c r="E176" s="11"/>
    </row>
    <row r="177">
      <c r="D177" s="11"/>
      <c r="E177" s="11"/>
    </row>
    <row r="178">
      <c r="D178" s="11"/>
      <c r="E178" s="11"/>
    </row>
    <row r="179">
      <c r="D179" s="11"/>
      <c r="E179" s="11"/>
    </row>
    <row r="180">
      <c r="D180" s="11"/>
      <c r="E180" s="11"/>
    </row>
    <row r="181">
      <c r="D181" s="11"/>
      <c r="E181" s="11"/>
    </row>
    <row r="182">
      <c r="D182" s="11"/>
      <c r="E182" s="11"/>
    </row>
    <row r="183">
      <c r="D183" s="11"/>
      <c r="E183" s="11"/>
    </row>
    <row r="184">
      <c r="D184" s="11"/>
      <c r="E184" s="11"/>
    </row>
    <row r="185">
      <c r="D185" s="11"/>
      <c r="E185" s="11"/>
    </row>
    <row r="186">
      <c r="D186" s="11"/>
      <c r="E186" s="11"/>
    </row>
    <row r="187">
      <c r="D187" s="11"/>
      <c r="E187" s="11"/>
    </row>
    <row r="188">
      <c r="D188" s="11"/>
      <c r="E188" s="11"/>
    </row>
    <row r="189">
      <c r="D189" s="11"/>
      <c r="E189" s="11"/>
    </row>
    <row r="190">
      <c r="D190" s="11"/>
      <c r="E190" s="11"/>
    </row>
    <row r="191">
      <c r="D191" s="11"/>
      <c r="E191" s="11"/>
    </row>
    <row r="192">
      <c r="D192" s="11"/>
      <c r="E192" s="11"/>
    </row>
    <row r="193">
      <c r="D193" s="11"/>
      <c r="E193" s="11"/>
    </row>
    <row r="194">
      <c r="D194" s="11"/>
      <c r="E194" s="11"/>
    </row>
    <row r="195">
      <c r="D195" s="11"/>
      <c r="E195" s="11"/>
    </row>
    <row r="196">
      <c r="D196" s="11"/>
      <c r="E196" s="11"/>
    </row>
    <row r="197">
      <c r="D197" s="11"/>
      <c r="E197" s="11"/>
    </row>
    <row r="198">
      <c r="D198" s="11"/>
      <c r="E198" s="11"/>
    </row>
    <row r="199">
      <c r="D199" s="11"/>
      <c r="E199" s="11"/>
    </row>
    <row r="200">
      <c r="D200" s="11"/>
      <c r="E200" s="11"/>
    </row>
    <row r="201">
      <c r="D201" s="11"/>
      <c r="E201" s="11"/>
    </row>
    <row r="202">
      <c r="D202" s="11"/>
      <c r="E202" s="11"/>
    </row>
    <row r="203">
      <c r="D203" s="11"/>
      <c r="E203" s="11"/>
    </row>
    <row r="204">
      <c r="D204" s="11"/>
      <c r="E204" s="11"/>
    </row>
    <row r="205">
      <c r="D205" s="11"/>
      <c r="E205" s="11"/>
    </row>
    <row r="206">
      <c r="D206" s="11"/>
      <c r="E206" s="11"/>
    </row>
    <row r="207">
      <c r="D207" s="11"/>
      <c r="E207" s="11"/>
    </row>
    <row r="208">
      <c r="D208" s="11"/>
      <c r="E208" s="11"/>
    </row>
    <row r="209">
      <c r="D209" s="11"/>
      <c r="E209" s="11"/>
    </row>
    <row r="210">
      <c r="D210" s="11"/>
      <c r="E210" s="11"/>
    </row>
    <row r="211">
      <c r="D211" s="11"/>
      <c r="E211" s="11"/>
    </row>
    <row r="212">
      <c r="D212" s="11"/>
      <c r="E212" s="11"/>
    </row>
    <row r="213">
      <c r="D213" s="11"/>
      <c r="E213" s="11"/>
    </row>
    <row r="214">
      <c r="D214" s="11"/>
      <c r="E214" s="11"/>
    </row>
    <row r="215">
      <c r="D215" s="11"/>
      <c r="E215" s="11"/>
    </row>
    <row r="216">
      <c r="D216" s="11"/>
      <c r="E216" s="11"/>
    </row>
    <row r="217">
      <c r="D217" s="11"/>
      <c r="E217" s="11"/>
    </row>
    <row r="218">
      <c r="D218" s="11"/>
      <c r="E218" s="11"/>
    </row>
    <row r="219">
      <c r="D219" s="11"/>
      <c r="E219" s="11"/>
    </row>
    <row r="220">
      <c r="D220" s="11"/>
      <c r="E220" s="11"/>
    </row>
    <row r="221">
      <c r="D221" s="11"/>
      <c r="E221" s="11"/>
    </row>
    <row r="222">
      <c r="D222" s="11"/>
      <c r="E222" s="11"/>
    </row>
    <row r="223">
      <c r="D223" s="11"/>
      <c r="E223" s="11"/>
    </row>
    <row r="224">
      <c r="D224" s="11"/>
      <c r="E224" s="11"/>
    </row>
    <row r="225">
      <c r="D225" s="11"/>
      <c r="E225" s="11"/>
    </row>
    <row r="226">
      <c r="D226" s="11"/>
      <c r="E226" s="11"/>
    </row>
    <row r="227">
      <c r="D227" s="11"/>
      <c r="E227" s="11"/>
    </row>
    <row r="228">
      <c r="D228" s="11"/>
      <c r="E228" s="11"/>
    </row>
    <row r="229">
      <c r="D229" s="11"/>
      <c r="E229" s="11"/>
    </row>
    <row r="230">
      <c r="D230" s="11"/>
      <c r="E230" s="11"/>
    </row>
    <row r="231">
      <c r="D231" s="11"/>
      <c r="E231" s="11"/>
    </row>
    <row r="232">
      <c r="D232" s="11"/>
      <c r="E232" s="11"/>
    </row>
    <row r="233">
      <c r="D233" s="11"/>
      <c r="E233" s="11"/>
    </row>
    <row r="234">
      <c r="D234" s="11"/>
      <c r="E234" s="11"/>
    </row>
    <row r="235">
      <c r="D235" s="11"/>
      <c r="E235" s="11"/>
    </row>
    <row r="236">
      <c r="D236" s="11"/>
      <c r="E236" s="11"/>
    </row>
    <row r="237">
      <c r="D237" s="11"/>
      <c r="E237" s="11"/>
    </row>
    <row r="238">
      <c r="D238" s="11"/>
      <c r="E238" s="11"/>
    </row>
    <row r="239">
      <c r="D239" s="11"/>
      <c r="E239" s="11"/>
    </row>
    <row r="240">
      <c r="D240" s="11"/>
      <c r="E240" s="11"/>
    </row>
    <row r="241">
      <c r="D241" s="11"/>
      <c r="E241" s="11"/>
    </row>
    <row r="242">
      <c r="D242" s="11"/>
      <c r="E242" s="11"/>
    </row>
    <row r="243">
      <c r="D243" s="11"/>
      <c r="E243" s="11"/>
    </row>
    <row r="244">
      <c r="D244" s="11"/>
      <c r="E244" s="11"/>
    </row>
    <row r="245">
      <c r="D245" s="11"/>
      <c r="E245" s="11"/>
    </row>
    <row r="246">
      <c r="D246" s="11"/>
      <c r="E246" s="11"/>
    </row>
    <row r="247">
      <c r="D247" s="11"/>
      <c r="E247" s="11"/>
    </row>
    <row r="248">
      <c r="D248" s="11"/>
      <c r="E248" s="11"/>
    </row>
    <row r="249">
      <c r="D249" s="11"/>
      <c r="E249" s="11"/>
    </row>
    <row r="250">
      <c r="D250" s="11"/>
      <c r="E250" s="11"/>
    </row>
    <row r="251">
      <c r="D251" s="11"/>
      <c r="E251" s="11"/>
    </row>
    <row r="252">
      <c r="D252" s="11"/>
      <c r="E252" s="11"/>
    </row>
    <row r="253">
      <c r="D253" s="11"/>
      <c r="E253" s="11"/>
    </row>
    <row r="254">
      <c r="D254" s="11"/>
      <c r="E254" s="11"/>
    </row>
    <row r="255">
      <c r="D255" s="11"/>
      <c r="E255" s="11"/>
    </row>
    <row r="256">
      <c r="D256" s="11"/>
      <c r="E256" s="11"/>
    </row>
    <row r="257">
      <c r="D257" s="11"/>
      <c r="E257" s="11"/>
    </row>
    <row r="258">
      <c r="D258" s="11"/>
      <c r="E258" s="11"/>
    </row>
    <row r="259">
      <c r="D259" s="11"/>
      <c r="E259" s="11"/>
    </row>
    <row r="260">
      <c r="D260" s="11"/>
      <c r="E260" s="11"/>
    </row>
    <row r="261">
      <c r="D261" s="11"/>
      <c r="E261" s="11"/>
    </row>
    <row r="262">
      <c r="D262" s="11"/>
      <c r="E262" s="11"/>
    </row>
    <row r="263">
      <c r="D263" s="11"/>
      <c r="E263" s="11"/>
    </row>
    <row r="264">
      <c r="D264" s="11"/>
      <c r="E264" s="11"/>
    </row>
    <row r="265">
      <c r="D265" s="11"/>
      <c r="E265" s="11"/>
    </row>
    <row r="266">
      <c r="D266" s="11"/>
      <c r="E266" s="11"/>
    </row>
    <row r="267">
      <c r="D267" s="11"/>
      <c r="E267" s="11"/>
    </row>
    <row r="268">
      <c r="D268" s="11"/>
      <c r="E268" s="11"/>
    </row>
    <row r="269">
      <c r="D269" s="11"/>
      <c r="E269" s="11"/>
    </row>
    <row r="270">
      <c r="D270" s="11"/>
      <c r="E270" s="11"/>
    </row>
    <row r="271">
      <c r="D271" s="11"/>
      <c r="E271" s="11"/>
    </row>
    <row r="272">
      <c r="D272" s="11"/>
      <c r="E272" s="11"/>
    </row>
    <row r="273">
      <c r="D273" s="11"/>
      <c r="E273" s="11"/>
    </row>
    <row r="274">
      <c r="D274" s="11"/>
      <c r="E274" s="11"/>
    </row>
    <row r="275">
      <c r="D275" s="11"/>
      <c r="E275" s="11"/>
    </row>
    <row r="276">
      <c r="D276" s="11"/>
      <c r="E276" s="11"/>
    </row>
    <row r="277">
      <c r="D277" s="11"/>
      <c r="E277" s="11"/>
    </row>
    <row r="278">
      <c r="D278" s="11"/>
      <c r="E278" s="11"/>
    </row>
    <row r="279">
      <c r="D279" s="11"/>
      <c r="E279" s="11"/>
    </row>
    <row r="280">
      <c r="D280" s="11"/>
      <c r="E280" s="11"/>
    </row>
    <row r="281">
      <c r="D281" s="11"/>
      <c r="E281" s="11"/>
    </row>
    <row r="282">
      <c r="D282" s="11"/>
      <c r="E282" s="11"/>
    </row>
    <row r="283">
      <c r="D283" s="11"/>
      <c r="E283" s="11"/>
    </row>
    <row r="284">
      <c r="D284" s="11"/>
      <c r="E284" s="11"/>
    </row>
    <row r="285">
      <c r="D285" s="11"/>
      <c r="E285" s="11"/>
    </row>
    <row r="286">
      <c r="D286" s="11"/>
      <c r="E286" s="11"/>
    </row>
    <row r="287">
      <c r="D287" s="11"/>
      <c r="E287" s="11"/>
    </row>
    <row r="288">
      <c r="D288" s="11"/>
      <c r="E288" s="11"/>
    </row>
    <row r="289">
      <c r="D289" s="11"/>
      <c r="E289" s="11"/>
    </row>
    <row r="290">
      <c r="D290" s="11"/>
      <c r="E290" s="11"/>
    </row>
    <row r="291">
      <c r="D291" s="11"/>
      <c r="E291" s="11"/>
    </row>
    <row r="292">
      <c r="D292" s="11"/>
      <c r="E292" s="11"/>
    </row>
    <row r="293">
      <c r="D293" s="11"/>
      <c r="E293" s="11"/>
    </row>
    <row r="294">
      <c r="D294" s="11"/>
      <c r="E294" s="11"/>
    </row>
    <row r="295">
      <c r="D295" s="11"/>
      <c r="E295" s="11"/>
    </row>
    <row r="296">
      <c r="D296" s="11"/>
      <c r="E296" s="11"/>
    </row>
    <row r="297">
      <c r="D297" s="11"/>
      <c r="E297" s="11"/>
    </row>
    <row r="298">
      <c r="D298" s="11"/>
      <c r="E298" s="11"/>
    </row>
    <row r="299">
      <c r="D299" s="11"/>
      <c r="E299" s="11"/>
    </row>
    <row r="300">
      <c r="D300" s="11"/>
      <c r="E300" s="11"/>
    </row>
    <row r="301">
      <c r="D301" s="11"/>
      <c r="E301" s="11"/>
    </row>
    <row r="302">
      <c r="D302" s="11"/>
      <c r="E302" s="11"/>
    </row>
    <row r="303">
      <c r="D303" s="11"/>
      <c r="E303" s="11"/>
    </row>
    <row r="304">
      <c r="D304" s="11"/>
      <c r="E304" s="11"/>
    </row>
    <row r="305">
      <c r="D305" s="11"/>
      <c r="E305" s="11"/>
    </row>
    <row r="306">
      <c r="D306" s="11"/>
      <c r="E306" s="11"/>
    </row>
    <row r="307">
      <c r="D307" s="11"/>
      <c r="E307" s="11"/>
    </row>
    <row r="308">
      <c r="D308" s="11"/>
      <c r="E308" s="11"/>
    </row>
    <row r="309">
      <c r="D309" s="11"/>
      <c r="E309" s="11"/>
    </row>
    <row r="310">
      <c r="D310" s="11"/>
      <c r="E310" s="11"/>
    </row>
    <row r="311">
      <c r="D311" s="11"/>
      <c r="E311" s="11"/>
    </row>
    <row r="312">
      <c r="D312" s="11"/>
      <c r="E312" s="11"/>
    </row>
    <row r="313">
      <c r="D313" s="11"/>
      <c r="E313" s="11"/>
    </row>
    <row r="314">
      <c r="D314" s="11"/>
      <c r="E314" s="11"/>
    </row>
    <row r="315">
      <c r="D315" s="11"/>
      <c r="E315" s="11"/>
    </row>
    <row r="316">
      <c r="D316" s="11"/>
      <c r="E316" s="11"/>
    </row>
    <row r="317">
      <c r="D317" s="11"/>
      <c r="E317" s="11"/>
    </row>
    <row r="318">
      <c r="D318" s="11"/>
      <c r="E318" s="11"/>
    </row>
    <row r="319">
      <c r="D319" s="11"/>
      <c r="E319" s="11"/>
    </row>
    <row r="320">
      <c r="D320" s="11"/>
      <c r="E320" s="11"/>
    </row>
    <row r="321">
      <c r="D321" s="11"/>
      <c r="E321" s="11"/>
    </row>
    <row r="322">
      <c r="D322" s="11"/>
      <c r="E322" s="11"/>
    </row>
    <row r="323">
      <c r="D323" s="11"/>
      <c r="E323" s="11"/>
    </row>
    <row r="324">
      <c r="D324" s="11"/>
      <c r="E324" s="11"/>
    </row>
    <row r="325">
      <c r="D325" s="11"/>
      <c r="E325" s="11"/>
    </row>
    <row r="326">
      <c r="D326" s="11"/>
      <c r="E326" s="11"/>
    </row>
    <row r="327">
      <c r="D327" s="11"/>
      <c r="E327" s="11"/>
    </row>
    <row r="328">
      <c r="D328" s="11"/>
      <c r="E328" s="11"/>
    </row>
    <row r="329">
      <c r="D329" s="11"/>
      <c r="E329" s="11"/>
    </row>
    <row r="330">
      <c r="D330" s="11"/>
      <c r="E330" s="11"/>
    </row>
    <row r="331">
      <c r="D331" s="11"/>
      <c r="E331" s="11"/>
    </row>
    <row r="332">
      <c r="D332" s="11"/>
      <c r="E332" s="11"/>
    </row>
    <row r="333">
      <c r="D333" s="11"/>
      <c r="E333" s="11"/>
    </row>
    <row r="334">
      <c r="D334" s="11"/>
      <c r="E334" s="11"/>
    </row>
    <row r="335">
      <c r="D335" s="11"/>
      <c r="E335" s="11"/>
    </row>
    <row r="336">
      <c r="D336" s="11"/>
      <c r="E336" s="11"/>
    </row>
    <row r="337">
      <c r="D337" s="11"/>
      <c r="E337" s="11"/>
    </row>
    <row r="338">
      <c r="D338" s="11"/>
      <c r="E338" s="11"/>
    </row>
    <row r="339">
      <c r="D339" s="11"/>
      <c r="E339" s="11"/>
    </row>
    <row r="340">
      <c r="D340" s="11"/>
      <c r="E340" s="11"/>
    </row>
    <row r="341">
      <c r="D341" s="11"/>
      <c r="E341" s="11"/>
    </row>
    <row r="342">
      <c r="D342" s="11"/>
      <c r="E342" s="11"/>
    </row>
    <row r="343">
      <c r="D343" s="11"/>
      <c r="E343" s="11"/>
    </row>
    <row r="344">
      <c r="D344" s="11"/>
      <c r="E344" s="11"/>
    </row>
    <row r="345">
      <c r="D345" s="11"/>
      <c r="E345" s="11"/>
    </row>
    <row r="346">
      <c r="D346" s="11"/>
      <c r="E346" s="11"/>
    </row>
    <row r="347">
      <c r="D347" s="11"/>
      <c r="E347" s="11"/>
    </row>
    <row r="348">
      <c r="D348" s="11"/>
      <c r="E348" s="11"/>
    </row>
    <row r="349">
      <c r="D349" s="11"/>
      <c r="E349" s="11"/>
    </row>
    <row r="350">
      <c r="D350" s="11"/>
      <c r="E350" s="11"/>
    </row>
    <row r="351">
      <c r="D351" s="11"/>
      <c r="E351" s="11"/>
    </row>
    <row r="352">
      <c r="D352" s="11"/>
      <c r="E352" s="11"/>
    </row>
    <row r="353">
      <c r="D353" s="11"/>
      <c r="E353" s="11"/>
    </row>
    <row r="354">
      <c r="D354" s="11"/>
      <c r="E354" s="11"/>
    </row>
    <row r="355">
      <c r="D355" s="11"/>
      <c r="E355" s="11"/>
    </row>
    <row r="356">
      <c r="D356" s="11"/>
      <c r="E356" s="11"/>
    </row>
    <row r="357">
      <c r="D357" s="11"/>
      <c r="E357" s="11"/>
    </row>
    <row r="358">
      <c r="D358" s="11"/>
      <c r="E358" s="11"/>
    </row>
    <row r="359">
      <c r="D359" s="11"/>
      <c r="E359" s="11"/>
    </row>
    <row r="360">
      <c r="D360" s="11"/>
      <c r="E360" s="11"/>
    </row>
    <row r="361">
      <c r="D361" s="11"/>
      <c r="E361" s="11"/>
    </row>
    <row r="362">
      <c r="D362" s="11"/>
      <c r="E362" s="11"/>
    </row>
    <row r="363">
      <c r="D363" s="11"/>
      <c r="E363" s="11"/>
    </row>
    <row r="364">
      <c r="D364" s="11"/>
      <c r="E364" s="11"/>
    </row>
    <row r="365">
      <c r="D365" s="11"/>
      <c r="E365" s="11"/>
    </row>
    <row r="366">
      <c r="D366" s="11"/>
      <c r="E366" s="11"/>
    </row>
    <row r="367">
      <c r="D367" s="11"/>
      <c r="E367" s="11"/>
    </row>
    <row r="368">
      <c r="D368" s="11"/>
      <c r="E368" s="11"/>
    </row>
    <row r="369">
      <c r="D369" s="11"/>
      <c r="E369" s="11"/>
    </row>
    <row r="370">
      <c r="D370" s="11"/>
      <c r="E370" s="11"/>
    </row>
    <row r="371">
      <c r="D371" s="11"/>
      <c r="E371" s="11"/>
    </row>
    <row r="372">
      <c r="D372" s="11"/>
      <c r="E372" s="11"/>
    </row>
    <row r="373">
      <c r="D373" s="11"/>
      <c r="E373" s="11"/>
    </row>
    <row r="374">
      <c r="D374" s="11"/>
      <c r="E374" s="11"/>
    </row>
    <row r="375">
      <c r="D375" s="11"/>
      <c r="E375" s="11"/>
    </row>
    <row r="376">
      <c r="D376" s="11"/>
      <c r="E376" s="11"/>
    </row>
    <row r="377">
      <c r="D377" s="11"/>
      <c r="E377" s="11"/>
    </row>
    <row r="378">
      <c r="D378" s="11"/>
      <c r="E378" s="11"/>
    </row>
    <row r="379">
      <c r="D379" s="11"/>
      <c r="E379" s="11"/>
    </row>
    <row r="380">
      <c r="D380" s="11"/>
      <c r="E380" s="11"/>
    </row>
    <row r="381">
      <c r="D381" s="11"/>
      <c r="E381" s="11"/>
    </row>
    <row r="382">
      <c r="D382" s="11"/>
      <c r="E382" s="11"/>
    </row>
    <row r="383">
      <c r="D383" s="11"/>
      <c r="E383" s="11"/>
    </row>
    <row r="384">
      <c r="D384" s="11"/>
      <c r="E384" s="11"/>
    </row>
    <row r="385">
      <c r="D385" s="11"/>
      <c r="E385" s="11"/>
    </row>
    <row r="386">
      <c r="D386" s="11"/>
      <c r="E386" s="11"/>
    </row>
    <row r="387">
      <c r="D387" s="11"/>
      <c r="E387" s="11"/>
    </row>
    <row r="388">
      <c r="D388" s="11"/>
      <c r="E388" s="11"/>
    </row>
    <row r="389">
      <c r="D389" s="11"/>
      <c r="E389" s="11"/>
    </row>
    <row r="390">
      <c r="D390" s="11"/>
      <c r="E390" s="11"/>
    </row>
    <row r="391">
      <c r="D391" s="11"/>
      <c r="E391" s="11"/>
    </row>
    <row r="392">
      <c r="D392" s="11"/>
      <c r="E392" s="11"/>
    </row>
    <row r="393">
      <c r="D393" s="11"/>
      <c r="E393" s="11"/>
    </row>
    <row r="394">
      <c r="D394" s="11"/>
      <c r="E394" s="11"/>
    </row>
    <row r="395">
      <c r="D395" s="11"/>
      <c r="E395" s="11"/>
    </row>
    <row r="396">
      <c r="D396" s="11"/>
      <c r="E396" s="11"/>
    </row>
    <row r="397">
      <c r="D397" s="11"/>
      <c r="E397" s="11"/>
    </row>
    <row r="398">
      <c r="D398" s="11"/>
      <c r="E398" s="11"/>
    </row>
    <row r="399">
      <c r="D399" s="11"/>
      <c r="E399" s="11"/>
    </row>
    <row r="400">
      <c r="D400" s="11"/>
      <c r="E400" s="11"/>
    </row>
    <row r="401">
      <c r="D401" s="11"/>
      <c r="E401" s="11"/>
    </row>
    <row r="402">
      <c r="D402" s="11"/>
      <c r="E402" s="11"/>
    </row>
    <row r="403">
      <c r="D403" s="11"/>
      <c r="E403" s="11"/>
    </row>
    <row r="404">
      <c r="D404" s="11"/>
      <c r="E404" s="11"/>
    </row>
    <row r="405">
      <c r="D405" s="11"/>
      <c r="E405" s="11"/>
    </row>
    <row r="406">
      <c r="D406" s="11"/>
      <c r="E406" s="11"/>
    </row>
    <row r="407">
      <c r="D407" s="11"/>
      <c r="E407" s="11"/>
    </row>
    <row r="408">
      <c r="D408" s="11"/>
      <c r="E408" s="11"/>
    </row>
    <row r="409">
      <c r="D409" s="11"/>
      <c r="E409" s="11"/>
    </row>
    <row r="410">
      <c r="D410" s="11"/>
      <c r="E410" s="11"/>
    </row>
    <row r="411">
      <c r="D411" s="11"/>
      <c r="E411" s="11"/>
    </row>
    <row r="412">
      <c r="D412" s="11"/>
      <c r="E412" s="11"/>
    </row>
    <row r="413">
      <c r="D413" s="11"/>
      <c r="E413" s="11"/>
    </row>
    <row r="414">
      <c r="D414" s="11"/>
      <c r="E414" s="11"/>
    </row>
    <row r="415">
      <c r="D415" s="11"/>
      <c r="E415" s="11"/>
    </row>
    <row r="416">
      <c r="D416" s="11"/>
      <c r="E416" s="11"/>
    </row>
    <row r="417">
      <c r="D417" s="11"/>
      <c r="E417" s="11"/>
    </row>
    <row r="418">
      <c r="D418" s="11"/>
      <c r="E418" s="11"/>
    </row>
    <row r="419">
      <c r="D419" s="11"/>
      <c r="E419" s="11"/>
    </row>
    <row r="420">
      <c r="D420" s="11"/>
      <c r="E420" s="11"/>
    </row>
    <row r="421">
      <c r="D421" s="11"/>
      <c r="E421" s="11"/>
    </row>
    <row r="422">
      <c r="D422" s="11"/>
      <c r="E422" s="11"/>
    </row>
    <row r="423">
      <c r="D423" s="11"/>
      <c r="E423" s="11"/>
    </row>
    <row r="424">
      <c r="D424" s="11"/>
      <c r="E424" s="11"/>
    </row>
    <row r="425">
      <c r="D425" s="11"/>
      <c r="E425" s="11"/>
    </row>
    <row r="426">
      <c r="D426" s="11"/>
      <c r="E426" s="11"/>
    </row>
    <row r="427">
      <c r="D427" s="11"/>
      <c r="E427" s="11"/>
    </row>
    <row r="428">
      <c r="D428" s="11"/>
      <c r="E428" s="11"/>
    </row>
    <row r="429">
      <c r="D429" s="11"/>
      <c r="E429" s="11"/>
    </row>
    <row r="430">
      <c r="D430" s="11"/>
      <c r="E430" s="11"/>
    </row>
    <row r="431">
      <c r="D431" s="11"/>
      <c r="E431" s="11"/>
    </row>
    <row r="432">
      <c r="D432" s="11"/>
      <c r="E432" s="11"/>
    </row>
    <row r="433">
      <c r="D433" s="11"/>
      <c r="E433" s="11"/>
    </row>
    <row r="434">
      <c r="D434" s="11"/>
      <c r="E434" s="11"/>
    </row>
    <row r="435">
      <c r="D435" s="11"/>
      <c r="E435" s="11"/>
    </row>
    <row r="436">
      <c r="D436" s="11"/>
      <c r="E436" s="11"/>
    </row>
    <row r="437">
      <c r="D437" s="11"/>
      <c r="E437" s="11"/>
    </row>
    <row r="438">
      <c r="D438" s="11"/>
      <c r="E438" s="11"/>
    </row>
    <row r="439">
      <c r="D439" s="11"/>
      <c r="E439" s="11"/>
    </row>
    <row r="440">
      <c r="D440" s="11"/>
      <c r="E440" s="11"/>
    </row>
    <row r="441">
      <c r="D441" s="11"/>
      <c r="E441" s="11"/>
    </row>
    <row r="442">
      <c r="D442" s="11"/>
      <c r="E442" s="11"/>
    </row>
    <row r="443">
      <c r="D443" s="11"/>
      <c r="E443" s="11"/>
    </row>
    <row r="444">
      <c r="D444" s="11"/>
      <c r="E444" s="11"/>
    </row>
    <row r="445">
      <c r="D445" s="11"/>
      <c r="E445" s="11"/>
    </row>
    <row r="446">
      <c r="D446" s="11"/>
      <c r="E446" s="11"/>
    </row>
    <row r="447">
      <c r="D447" s="11"/>
      <c r="E447" s="11"/>
    </row>
    <row r="448">
      <c r="D448" s="11"/>
      <c r="E448" s="11"/>
    </row>
    <row r="449">
      <c r="D449" s="11"/>
      <c r="E449" s="11"/>
    </row>
    <row r="450">
      <c r="D450" s="11"/>
      <c r="E450" s="11"/>
    </row>
    <row r="451">
      <c r="D451" s="11"/>
      <c r="E451" s="11"/>
    </row>
    <row r="452">
      <c r="D452" s="11"/>
      <c r="E452" s="11"/>
    </row>
    <row r="453">
      <c r="D453" s="11"/>
      <c r="E453" s="11"/>
    </row>
    <row r="454">
      <c r="D454" s="11"/>
      <c r="E454" s="11"/>
    </row>
    <row r="455">
      <c r="D455" s="11"/>
      <c r="E455" s="11"/>
    </row>
    <row r="456">
      <c r="D456" s="11"/>
      <c r="E456" s="11"/>
    </row>
    <row r="457">
      <c r="D457" s="11"/>
      <c r="E457" s="11"/>
    </row>
    <row r="458">
      <c r="D458" s="11"/>
      <c r="E458" s="11"/>
    </row>
    <row r="459">
      <c r="D459" s="11"/>
      <c r="E459" s="11"/>
    </row>
    <row r="460">
      <c r="D460" s="11"/>
      <c r="E460" s="11"/>
    </row>
    <row r="461">
      <c r="D461" s="11"/>
      <c r="E461" s="11"/>
    </row>
    <row r="462">
      <c r="D462" s="11"/>
      <c r="E462" s="11"/>
    </row>
    <row r="463">
      <c r="D463" s="11"/>
      <c r="E463" s="11"/>
    </row>
    <row r="464">
      <c r="D464" s="11"/>
      <c r="E464" s="11"/>
    </row>
    <row r="465">
      <c r="D465" s="11"/>
      <c r="E465" s="11"/>
    </row>
    <row r="466">
      <c r="D466" s="11"/>
      <c r="E466" s="11"/>
    </row>
    <row r="467">
      <c r="D467" s="11"/>
      <c r="E467" s="11"/>
    </row>
    <row r="468">
      <c r="D468" s="11"/>
      <c r="E468" s="11"/>
    </row>
    <row r="469">
      <c r="D469" s="11"/>
      <c r="E469" s="11"/>
    </row>
    <row r="470">
      <c r="D470" s="11"/>
      <c r="E470" s="11"/>
    </row>
    <row r="471">
      <c r="D471" s="11"/>
      <c r="E471" s="11"/>
    </row>
    <row r="472">
      <c r="D472" s="11"/>
      <c r="E472" s="11"/>
    </row>
    <row r="473">
      <c r="D473" s="11"/>
      <c r="E473" s="11"/>
    </row>
    <row r="474">
      <c r="D474" s="11"/>
      <c r="E474" s="11"/>
    </row>
    <row r="475">
      <c r="D475" s="11"/>
      <c r="E475" s="11"/>
    </row>
    <row r="476">
      <c r="D476" s="11"/>
      <c r="E476" s="11"/>
    </row>
    <row r="477">
      <c r="D477" s="11"/>
      <c r="E477" s="11"/>
    </row>
    <row r="478">
      <c r="D478" s="11"/>
      <c r="E478" s="11"/>
    </row>
    <row r="479">
      <c r="D479" s="11"/>
      <c r="E479" s="11"/>
    </row>
    <row r="480">
      <c r="D480" s="11"/>
      <c r="E480" s="11"/>
    </row>
    <row r="481">
      <c r="D481" s="11"/>
      <c r="E481" s="11"/>
    </row>
    <row r="482">
      <c r="D482" s="11"/>
      <c r="E482" s="11"/>
    </row>
    <row r="483">
      <c r="D483" s="11"/>
      <c r="E483" s="11"/>
    </row>
    <row r="484">
      <c r="D484" s="11"/>
      <c r="E484" s="11"/>
    </row>
    <row r="485">
      <c r="D485" s="11"/>
      <c r="E485" s="11"/>
    </row>
    <row r="486">
      <c r="D486" s="11"/>
      <c r="E486" s="11"/>
    </row>
    <row r="487">
      <c r="D487" s="11"/>
      <c r="E487" s="11"/>
    </row>
    <row r="488">
      <c r="D488" s="11"/>
      <c r="E488" s="11"/>
    </row>
    <row r="489">
      <c r="D489" s="11"/>
      <c r="E489" s="11"/>
    </row>
    <row r="490">
      <c r="D490" s="11"/>
      <c r="E490" s="11"/>
    </row>
    <row r="491">
      <c r="D491" s="11"/>
      <c r="E491" s="11"/>
    </row>
    <row r="492">
      <c r="D492" s="11"/>
      <c r="E492" s="11"/>
    </row>
    <row r="493">
      <c r="D493" s="11"/>
      <c r="E493" s="11"/>
    </row>
    <row r="494">
      <c r="D494" s="11"/>
      <c r="E494" s="11"/>
    </row>
    <row r="495">
      <c r="D495" s="11"/>
      <c r="E495" s="11"/>
    </row>
    <row r="496">
      <c r="D496" s="11"/>
      <c r="E496" s="11"/>
    </row>
    <row r="497">
      <c r="D497" s="11"/>
      <c r="E497" s="11"/>
    </row>
    <row r="498">
      <c r="D498" s="11"/>
      <c r="E498" s="11"/>
    </row>
    <row r="499">
      <c r="D499" s="11"/>
      <c r="E499" s="11"/>
    </row>
    <row r="500">
      <c r="D500" s="11"/>
      <c r="E500" s="11"/>
    </row>
    <row r="501">
      <c r="D501" s="11"/>
      <c r="E501" s="11"/>
    </row>
    <row r="502">
      <c r="D502" s="11"/>
      <c r="E502" s="11"/>
    </row>
    <row r="503">
      <c r="D503" s="11"/>
      <c r="E503" s="11"/>
    </row>
    <row r="504">
      <c r="D504" s="11"/>
      <c r="E504" s="11"/>
    </row>
    <row r="505">
      <c r="D505" s="11"/>
      <c r="E505" s="11"/>
    </row>
    <row r="506">
      <c r="D506" s="11"/>
      <c r="E506" s="11"/>
    </row>
    <row r="507">
      <c r="D507" s="11"/>
      <c r="E507" s="11"/>
    </row>
    <row r="508">
      <c r="D508" s="11"/>
      <c r="E508" s="11"/>
    </row>
    <row r="509">
      <c r="D509" s="11"/>
      <c r="E509" s="11"/>
    </row>
    <row r="510">
      <c r="D510" s="11"/>
      <c r="E510" s="11"/>
    </row>
    <row r="511">
      <c r="D511" s="11"/>
      <c r="E511" s="11"/>
    </row>
    <row r="512">
      <c r="D512" s="11"/>
      <c r="E512" s="11"/>
    </row>
    <row r="513">
      <c r="D513" s="11"/>
      <c r="E513" s="11"/>
    </row>
    <row r="514">
      <c r="D514" s="11"/>
      <c r="E514" s="11"/>
    </row>
    <row r="515">
      <c r="D515" s="11"/>
      <c r="E515" s="11"/>
    </row>
    <row r="516">
      <c r="D516" s="11"/>
      <c r="E516" s="11"/>
    </row>
    <row r="517">
      <c r="D517" s="11"/>
      <c r="E517" s="11"/>
    </row>
    <row r="518">
      <c r="D518" s="11"/>
      <c r="E518" s="11"/>
    </row>
    <row r="519">
      <c r="D519" s="11"/>
      <c r="E519" s="11"/>
    </row>
    <row r="520">
      <c r="D520" s="11"/>
      <c r="E520" s="11"/>
    </row>
    <row r="521">
      <c r="D521" s="11"/>
      <c r="E521" s="11"/>
    </row>
    <row r="522">
      <c r="D522" s="11"/>
      <c r="E522" s="11"/>
    </row>
    <row r="523">
      <c r="D523" s="11"/>
      <c r="E523" s="11"/>
    </row>
    <row r="524">
      <c r="D524" s="11"/>
      <c r="E524" s="11"/>
    </row>
    <row r="525">
      <c r="D525" s="11"/>
      <c r="E525" s="11"/>
    </row>
    <row r="526">
      <c r="D526" s="11"/>
      <c r="E526" s="11"/>
    </row>
    <row r="527">
      <c r="D527" s="11"/>
      <c r="E527" s="11"/>
    </row>
    <row r="528">
      <c r="D528" s="11"/>
      <c r="E528" s="11"/>
    </row>
    <row r="529">
      <c r="D529" s="11"/>
      <c r="E529" s="11"/>
    </row>
    <row r="530">
      <c r="D530" s="11"/>
      <c r="E530" s="11"/>
    </row>
    <row r="531">
      <c r="D531" s="11"/>
      <c r="E531" s="11"/>
    </row>
    <row r="532">
      <c r="D532" s="11"/>
      <c r="E532" s="11"/>
    </row>
    <row r="533">
      <c r="D533" s="11"/>
      <c r="E533" s="11"/>
    </row>
    <row r="534">
      <c r="D534" s="11"/>
      <c r="E534" s="11"/>
    </row>
    <row r="535">
      <c r="D535" s="11"/>
      <c r="E535" s="11"/>
    </row>
    <row r="536">
      <c r="D536" s="11"/>
      <c r="E536" s="11"/>
    </row>
    <row r="537">
      <c r="D537" s="11"/>
      <c r="E537" s="11"/>
    </row>
    <row r="538">
      <c r="D538" s="11"/>
      <c r="E538" s="11"/>
    </row>
    <row r="539">
      <c r="D539" s="11"/>
      <c r="E539" s="11"/>
    </row>
    <row r="540">
      <c r="D540" s="11"/>
      <c r="E540" s="11"/>
    </row>
    <row r="541">
      <c r="D541" s="11"/>
      <c r="E541" s="11"/>
    </row>
    <row r="542">
      <c r="D542" s="11"/>
      <c r="E542" s="11"/>
    </row>
    <row r="543">
      <c r="D543" s="11"/>
      <c r="E543" s="11"/>
    </row>
    <row r="544">
      <c r="D544" s="11"/>
      <c r="E544" s="11"/>
    </row>
    <row r="545">
      <c r="D545" s="11"/>
      <c r="E545" s="11"/>
    </row>
    <row r="546">
      <c r="D546" s="11"/>
      <c r="E546" s="11"/>
    </row>
    <row r="547">
      <c r="D547" s="11"/>
      <c r="E547" s="11"/>
    </row>
    <row r="548">
      <c r="D548" s="11"/>
      <c r="E548" s="11"/>
    </row>
    <row r="549">
      <c r="D549" s="11"/>
      <c r="E549" s="11"/>
    </row>
    <row r="550">
      <c r="D550" s="11"/>
      <c r="E550" s="11"/>
    </row>
    <row r="551">
      <c r="D551" s="11"/>
      <c r="E551" s="11"/>
    </row>
    <row r="552">
      <c r="D552" s="11"/>
      <c r="E552" s="11"/>
    </row>
    <row r="553">
      <c r="D553" s="11"/>
      <c r="E553" s="11"/>
    </row>
    <row r="554">
      <c r="D554" s="11"/>
      <c r="E554" s="11"/>
    </row>
    <row r="555">
      <c r="D555" s="11"/>
      <c r="E555" s="11"/>
    </row>
    <row r="556">
      <c r="D556" s="11"/>
      <c r="E556" s="11"/>
    </row>
    <row r="557">
      <c r="D557" s="11"/>
      <c r="E557" s="11"/>
    </row>
    <row r="558">
      <c r="D558" s="11"/>
      <c r="E558" s="11"/>
    </row>
    <row r="559">
      <c r="D559" s="11"/>
      <c r="E559" s="11"/>
    </row>
    <row r="560">
      <c r="D560" s="11"/>
      <c r="E560" s="11"/>
    </row>
    <row r="561">
      <c r="D561" s="11"/>
      <c r="E561" s="11"/>
    </row>
    <row r="562">
      <c r="D562" s="11"/>
      <c r="E562" s="11"/>
    </row>
    <row r="563">
      <c r="D563" s="11"/>
      <c r="E563" s="11"/>
    </row>
    <row r="564">
      <c r="D564" s="11"/>
      <c r="E564" s="11"/>
    </row>
    <row r="565">
      <c r="D565" s="11"/>
      <c r="E565" s="11"/>
    </row>
    <row r="566">
      <c r="D566" s="11"/>
      <c r="E566" s="11"/>
    </row>
    <row r="567">
      <c r="D567" s="11"/>
      <c r="E567" s="11"/>
    </row>
    <row r="568">
      <c r="D568" s="11"/>
      <c r="E568" s="11"/>
    </row>
    <row r="569">
      <c r="D569" s="11"/>
      <c r="E569" s="11"/>
    </row>
    <row r="570">
      <c r="D570" s="11"/>
      <c r="E570" s="11"/>
    </row>
    <row r="571">
      <c r="D571" s="11"/>
      <c r="E571" s="11"/>
    </row>
    <row r="572">
      <c r="D572" s="11"/>
      <c r="E572" s="11"/>
    </row>
    <row r="573">
      <c r="D573" s="11"/>
      <c r="E573" s="11"/>
    </row>
    <row r="574">
      <c r="D574" s="11"/>
      <c r="E574" s="11"/>
    </row>
    <row r="575">
      <c r="D575" s="11"/>
      <c r="E575" s="11"/>
    </row>
    <row r="576">
      <c r="D576" s="11"/>
      <c r="E576" s="11"/>
    </row>
    <row r="577">
      <c r="D577" s="11"/>
      <c r="E577" s="11"/>
    </row>
    <row r="578">
      <c r="D578" s="11"/>
      <c r="E578" s="11"/>
    </row>
    <row r="579">
      <c r="D579" s="11"/>
      <c r="E579" s="11"/>
    </row>
    <row r="580">
      <c r="D580" s="11"/>
      <c r="E580" s="11"/>
    </row>
    <row r="581">
      <c r="D581" s="11"/>
      <c r="E581" s="11"/>
    </row>
    <row r="582">
      <c r="D582" s="11"/>
      <c r="E582" s="11"/>
    </row>
    <row r="583">
      <c r="D583" s="11"/>
      <c r="E583" s="11"/>
    </row>
    <row r="584">
      <c r="D584" s="11"/>
      <c r="E584" s="11"/>
    </row>
    <row r="585">
      <c r="D585" s="11"/>
      <c r="E585" s="11"/>
    </row>
    <row r="586">
      <c r="D586" s="11"/>
      <c r="E586" s="11"/>
    </row>
    <row r="587">
      <c r="D587" s="11"/>
      <c r="E587" s="11"/>
    </row>
    <row r="588">
      <c r="D588" s="11"/>
      <c r="E588" s="11"/>
    </row>
    <row r="589">
      <c r="D589" s="11"/>
      <c r="E589" s="11"/>
    </row>
    <row r="590">
      <c r="D590" s="11"/>
      <c r="E590" s="11"/>
    </row>
    <row r="591">
      <c r="D591" s="11"/>
      <c r="E591" s="11"/>
    </row>
    <row r="592">
      <c r="D592" s="11"/>
      <c r="E592" s="11"/>
    </row>
    <row r="593">
      <c r="D593" s="11"/>
      <c r="E593" s="11"/>
    </row>
    <row r="594">
      <c r="D594" s="11"/>
      <c r="E594" s="11"/>
    </row>
    <row r="595">
      <c r="D595" s="11"/>
      <c r="E595" s="11"/>
    </row>
    <row r="596">
      <c r="D596" s="11"/>
      <c r="E596" s="11"/>
    </row>
    <row r="597">
      <c r="D597" s="11"/>
      <c r="E597" s="11"/>
    </row>
    <row r="598">
      <c r="D598" s="11"/>
      <c r="E598" s="11"/>
    </row>
    <row r="599">
      <c r="D599" s="11"/>
      <c r="E599" s="11"/>
    </row>
    <row r="600">
      <c r="D600" s="11"/>
      <c r="E600" s="11"/>
    </row>
    <row r="601">
      <c r="D601" s="11"/>
      <c r="E601" s="11"/>
    </row>
    <row r="602">
      <c r="D602" s="11"/>
      <c r="E602" s="11"/>
    </row>
    <row r="603">
      <c r="D603" s="11"/>
      <c r="E603" s="11"/>
    </row>
    <row r="604">
      <c r="D604" s="11"/>
      <c r="E604" s="11"/>
    </row>
    <row r="605">
      <c r="D605" s="11"/>
      <c r="E605" s="11"/>
    </row>
    <row r="606">
      <c r="D606" s="11"/>
      <c r="E606" s="11"/>
    </row>
    <row r="607">
      <c r="D607" s="11"/>
      <c r="E607" s="11"/>
    </row>
    <row r="608">
      <c r="D608" s="11"/>
      <c r="E608" s="11"/>
    </row>
    <row r="609">
      <c r="D609" s="11"/>
      <c r="E609" s="11"/>
    </row>
    <row r="610">
      <c r="D610" s="11"/>
      <c r="E610" s="11"/>
    </row>
    <row r="611">
      <c r="D611" s="11"/>
      <c r="E611" s="11"/>
    </row>
    <row r="612">
      <c r="D612" s="11"/>
      <c r="E612" s="11"/>
    </row>
    <row r="613">
      <c r="D613" s="11"/>
      <c r="E613" s="11"/>
    </row>
    <row r="614">
      <c r="D614" s="11"/>
      <c r="E614" s="11"/>
    </row>
    <row r="615">
      <c r="D615" s="11"/>
      <c r="E615" s="11"/>
    </row>
    <row r="616">
      <c r="D616" s="11"/>
      <c r="E616" s="11"/>
    </row>
    <row r="617">
      <c r="D617" s="11"/>
      <c r="E617" s="11"/>
    </row>
    <row r="618">
      <c r="D618" s="11"/>
      <c r="E618" s="11"/>
    </row>
    <row r="619">
      <c r="D619" s="11"/>
      <c r="E619" s="11"/>
    </row>
    <row r="620">
      <c r="D620" s="11"/>
      <c r="E620" s="11"/>
    </row>
    <row r="621">
      <c r="D621" s="11"/>
      <c r="E621" s="11"/>
    </row>
    <row r="622">
      <c r="D622" s="11"/>
      <c r="E622" s="11"/>
    </row>
    <row r="623">
      <c r="D623" s="11"/>
      <c r="E623" s="11"/>
    </row>
    <row r="624">
      <c r="D624" s="11"/>
      <c r="E624" s="11"/>
    </row>
    <row r="625">
      <c r="D625" s="11"/>
      <c r="E625" s="11"/>
    </row>
    <row r="626">
      <c r="D626" s="11"/>
      <c r="E626" s="11"/>
    </row>
    <row r="627">
      <c r="D627" s="11"/>
      <c r="E627" s="11"/>
    </row>
    <row r="628">
      <c r="D628" s="11"/>
      <c r="E628" s="11"/>
    </row>
    <row r="629">
      <c r="D629" s="11"/>
      <c r="E629" s="11"/>
    </row>
    <row r="630">
      <c r="D630" s="11"/>
      <c r="E630" s="11"/>
    </row>
    <row r="631">
      <c r="D631" s="11"/>
      <c r="E631" s="11"/>
    </row>
    <row r="632">
      <c r="D632" s="11"/>
      <c r="E632" s="11"/>
    </row>
    <row r="633">
      <c r="D633" s="11"/>
      <c r="E633" s="11"/>
    </row>
    <row r="634">
      <c r="D634" s="11"/>
      <c r="E634" s="11"/>
    </row>
    <row r="635">
      <c r="D635" s="11"/>
      <c r="E635" s="11"/>
    </row>
    <row r="636">
      <c r="D636" s="11"/>
      <c r="E636" s="11"/>
    </row>
    <row r="637">
      <c r="D637" s="11"/>
      <c r="E637" s="11"/>
    </row>
    <row r="638">
      <c r="D638" s="11"/>
      <c r="E638" s="11"/>
    </row>
    <row r="639">
      <c r="D639" s="11"/>
      <c r="E639" s="11"/>
    </row>
    <row r="640">
      <c r="D640" s="11"/>
      <c r="E640" s="11"/>
    </row>
    <row r="641">
      <c r="D641" s="11"/>
      <c r="E641" s="11"/>
    </row>
    <row r="642">
      <c r="D642" s="11"/>
      <c r="E642" s="11"/>
    </row>
    <row r="643">
      <c r="D643" s="11"/>
      <c r="E643" s="11"/>
    </row>
    <row r="644">
      <c r="D644" s="11"/>
      <c r="E644" s="11"/>
    </row>
    <row r="645">
      <c r="D645" s="11"/>
      <c r="E645" s="11"/>
    </row>
    <row r="646">
      <c r="D646" s="11"/>
      <c r="E646" s="11"/>
    </row>
    <row r="647">
      <c r="D647" s="11"/>
      <c r="E647" s="11"/>
    </row>
    <row r="648">
      <c r="D648" s="11"/>
      <c r="E648" s="11"/>
    </row>
    <row r="649">
      <c r="D649" s="11"/>
      <c r="E649" s="11"/>
    </row>
    <row r="650">
      <c r="D650" s="11"/>
      <c r="E650" s="11"/>
    </row>
    <row r="651">
      <c r="D651" s="11"/>
      <c r="E651" s="11"/>
    </row>
    <row r="652">
      <c r="D652" s="11"/>
      <c r="E652" s="11"/>
    </row>
    <row r="653">
      <c r="D653" s="11"/>
      <c r="E653" s="11"/>
    </row>
    <row r="654">
      <c r="D654" s="11"/>
      <c r="E654" s="11"/>
    </row>
    <row r="655">
      <c r="D655" s="11"/>
      <c r="E655" s="11"/>
    </row>
    <row r="656">
      <c r="D656" s="11"/>
      <c r="E656" s="11"/>
    </row>
    <row r="657">
      <c r="D657" s="11"/>
      <c r="E657" s="11"/>
    </row>
    <row r="658">
      <c r="D658" s="11"/>
      <c r="E658" s="11"/>
    </row>
    <row r="659">
      <c r="D659" s="11"/>
      <c r="E659" s="11"/>
    </row>
    <row r="660">
      <c r="D660" s="11"/>
      <c r="E660" s="11"/>
    </row>
    <row r="661">
      <c r="D661" s="11"/>
      <c r="E661" s="11"/>
    </row>
    <row r="662">
      <c r="D662" s="11"/>
      <c r="E662" s="11"/>
    </row>
    <row r="663">
      <c r="D663" s="11"/>
      <c r="E663" s="11"/>
    </row>
    <row r="664">
      <c r="D664" s="11"/>
      <c r="E664" s="11"/>
    </row>
    <row r="665">
      <c r="D665" s="11"/>
      <c r="E665" s="11"/>
    </row>
    <row r="666">
      <c r="D666" s="11"/>
      <c r="E666" s="11"/>
    </row>
    <row r="667">
      <c r="D667" s="11"/>
      <c r="E667" s="11"/>
    </row>
    <row r="668">
      <c r="D668" s="11"/>
      <c r="E668" s="11"/>
    </row>
    <row r="669">
      <c r="D669" s="11"/>
      <c r="E669" s="11"/>
    </row>
    <row r="670">
      <c r="D670" s="11"/>
      <c r="E670" s="11"/>
    </row>
    <row r="671">
      <c r="D671" s="11"/>
      <c r="E671" s="11"/>
    </row>
    <row r="672">
      <c r="D672" s="11"/>
      <c r="E672" s="11"/>
    </row>
    <row r="673">
      <c r="D673" s="11"/>
      <c r="E673" s="11"/>
    </row>
    <row r="674">
      <c r="D674" s="11"/>
      <c r="E674" s="11"/>
    </row>
    <row r="675">
      <c r="D675" s="11"/>
      <c r="E675" s="11"/>
    </row>
    <row r="676">
      <c r="D676" s="11"/>
      <c r="E676" s="11"/>
    </row>
    <row r="677">
      <c r="D677" s="11"/>
      <c r="E677" s="11"/>
    </row>
    <row r="678">
      <c r="D678" s="11"/>
      <c r="E678" s="11"/>
    </row>
    <row r="679">
      <c r="D679" s="11"/>
      <c r="E679" s="11"/>
    </row>
    <row r="680">
      <c r="D680" s="11"/>
      <c r="E680" s="11"/>
    </row>
    <row r="681">
      <c r="D681" s="11"/>
      <c r="E681" s="11"/>
    </row>
    <row r="682">
      <c r="D682" s="11"/>
      <c r="E682" s="11"/>
    </row>
    <row r="683">
      <c r="D683" s="11"/>
      <c r="E683" s="11"/>
    </row>
    <row r="684">
      <c r="D684" s="11"/>
      <c r="E684" s="11"/>
    </row>
    <row r="685">
      <c r="D685" s="11"/>
      <c r="E685" s="11"/>
    </row>
    <row r="686">
      <c r="D686" s="11"/>
      <c r="E686" s="11"/>
    </row>
    <row r="687">
      <c r="D687" s="11"/>
      <c r="E687" s="11"/>
    </row>
    <row r="688">
      <c r="D688" s="11"/>
      <c r="E688" s="11"/>
    </row>
    <row r="689">
      <c r="D689" s="11"/>
      <c r="E689" s="11"/>
    </row>
    <row r="690">
      <c r="D690" s="11"/>
      <c r="E690" s="11"/>
    </row>
    <row r="691">
      <c r="D691" s="11"/>
      <c r="E691" s="11"/>
    </row>
    <row r="692">
      <c r="D692" s="11"/>
      <c r="E692" s="11"/>
    </row>
    <row r="693">
      <c r="D693" s="11"/>
      <c r="E693" s="11"/>
    </row>
    <row r="694">
      <c r="D694" s="11"/>
      <c r="E694" s="11"/>
    </row>
    <row r="695">
      <c r="D695" s="11"/>
      <c r="E695" s="11"/>
    </row>
    <row r="696">
      <c r="D696" s="11"/>
      <c r="E696" s="11"/>
    </row>
    <row r="697">
      <c r="D697" s="11"/>
      <c r="E697" s="11"/>
    </row>
    <row r="698">
      <c r="D698" s="11"/>
      <c r="E698" s="11"/>
    </row>
    <row r="699">
      <c r="D699" s="11"/>
      <c r="E699" s="11"/>
    </row>
    <row r="700">
      <c r="D700" s="11"/>
      <c r="E700" s="11"/>
    </row>
    <row r="701">
      <c r="D701" s="11"/>
      <c r="E701" s="11"/>
    </row>
    <row r="702">
      <c r="D702" s="11"/>
      <c r="E702" s="11"/>
    </row>
    <row r="703">
      <c r="D703" s="11"/>
      <c r="E703" s="11"/>
    </row>
    <row r="704">
      <c r="D704" s="11"/>
      <c r="E704" s="11"/>
    </row>
    <row r="705">
      <c r="D705" s="11"/>
      <c r="E705" s="11"/>
    </row>
    <row r="706">
      <c r="D706" s="11"/>
      <c r="E706" s="11"/>
    </row>
    <row r="707">
      <c r="D707" s="11"/>
      <c r="E707" s="11"/>
    </row>
    <row r="708">
      <c r="D708" s="11"/>
      <c r="E708" s="11"/>
    </row>
    <row r="709">
      <c r="D709" s="11"/>
      <c r="E709" s="11"/>
    </row>
    <row r="710">
      <c r="D710" s="11"/>
      <c r="E710" s="11"/>
    </row>
    <row r="711">
      <c r="D711" s="11"/>
      <c r="E711" s="11"/>
    </row>
    <row r="712">
      <c r="D712" s="11"/>
      <c r="E712" s="11"/>
    </row>
    <row r="713">
      <c r="D713" s="11"/>
      <c r="E713" s="11"/>
    </row>
    <row r="714">
      <c r="D714" s="11"/>
      <c r="E714" s="11"/>
    </row>
    <row r="715">
      <c r="D715" s="11"/>
      <c r="E715" s="11"/>
    </row>
    <row r="716">
      <c r="D716" s="11"/>
      <c r="E716" s="11"/>
    </row>
    <row r="717">
      <c r="D717" s="11"/>
      <c r="E717" s="11"/>
    </row>
    <row r="718">
      <c r="D718" s="11"/>
      <c r="E718" s="11"/>
    </row>
    <row r="719">
      <c r="D719" s="11"/>
      <c r="E719" s="11"/>
    </row>
    <row r="720">
      <c r="D720" s="11"/>
      <c r="E720" s="11"/>
    </row>
    <row r="721">
      <c r="D721" s="11"/>
      <c r="E721" s="11"/>
    </row>
    <row r="722">
      <c r="D722" s="11"/>
      <c r="E722" s="11"/>
    </row>
    <row r="723">
      <c r="D723" s="11"/>
      <c r="E723" s="11"/>
    </row>
    <row r="724">
      <c r="D724" s="11"/>
      <c r="E724" s="11"/>
    </row>
    <row r="725">
      <c r="D725" s="11"/>
      <c r="E725" s="11"/>
    </row>
    <row r="726">
      <c r="D726" s="11"/>
      <c r="E726" s="11"/>
    </row>
    <row r="727">
      <c r="D727" s="11"/>
      <c r="E727" s="11"/>
    </row>
    <row r="728">
      <c r="D728" s="11"/>
      <c r="E728" s="11"/>
    </row>
    <row r="729">
      <c r="D729" s="11"/>
      <c r="E729" s="11"/>
    </row>
    <row r="730">
      <c r="D730" s="11"/>
      <c r="E730" s="11"/>
    </row>
    <row r="731">
      <c r="D731" s="11"/>
      <c r="E731" s="11"/>
    </row>
    <row r="732">
      <c r="D732" s="11"/>
      <c r="E732" s="11"/>
    </row>
    <row r="733">
      <c r="D733" s="11"/>
      <c r="E733" s="11"/>
    </row>
    <row r="734">
      <c r="D734" s="11"/>
      <c r="E734" s="11"/>
    </row>
    <row r="735">
      <c r="D735" s="11"/>
      <c r="E735" s="11"/>
    </row>
    <row r="736">
      <c r="D736" s="11"/>
      <c r="E736" s="11"/>
    </row>
    <row r="737">
      <c r="D737" s="11"/>
      <c r="E737" s="11"/>
    </row>
    <row r="738">
      <c r="D738" s="11"/>
      <c r="E738" s="11"/>
    </row>
    <row r="739">
      <c r="D739" s="11"/>
      <c r="E739" s="11"/>
    </row>
    <row r="740">
      <c r="D740" s="11"/>
      <c r="E740" s="11"/>
    </row>
    <row r="741">
      <c r="D741" s="11"/>
      <c r="E741" s="11"/>
    </row>
    <row r="742">
      <c r="D742" s="11"/>
      <c r="E742" s="11"/>
    </row>
    <row r="743">
      <c r="D743" s="11"/>
      <c r="E743" s="11"/>
    </row>
    <row r="744">
      <c r="D744" s="11"/>
      <c r="E744" s="11"/>
    </row>
    <row r="745">
      <c r="D745" s="11"/>
      <c r="E745" s="11"/>
    </row>
    <row r="746">
      <c r="D746" s="11"/>
      <c r="E746" s="11"/>
    </row>
    <row r="747">
      <c r="D747" s="11"/>
      <c r="E747" s="11"/>
    </row>
    <row r="748">
      <c r="D748" s="11"/>
      <c r="E748" s="11"/>
    </row>
    <row r="749">
      <c r="D749" s="11"/>
      <c r="E749" s="11"/>
    </row>
    <row r="750">
      <c r="D750" s="11"/>
      <c r="E750" s="11"/>
    </row>
    <row r="751">
      <c r="D751" s="11"/>
      <c r="E751" s="11"/>
    </row>
    <row r="752">
      <c r="D752" s="11"/>
      <c r="E752" s="11"/>
    </row>
    <row r="753">
      <c r="D753" s="11"/>
      <c r="E753" s="11"/>
    </row>
    <row r="754">
      <c r="D754" s="11"/>
      <c r="E754" s="11"/>
    </row>
    <row r="755">
      <c r="D755" s="11"/>
      <c r="E755" s="11"/>
    </row>
    <row r="756">
      <c r="D756" s="11"/>
      <c r="E756" s="11"/>
    </row>
    <row r="757">
      <c r="D757" s="11"/>
      <c r="E757" s="11"/>
    </row>
    <row r="758">
      <c r="D758" s="11"/>
      <c r="E758" s="11"/>
    </row>
    <row r="759">
      <c r="D759" s="11"/>
      <c r="E759" s="11"/>
    </row>
    <row r="760">
      <c r="D760" s="11"/>
      <c r="E760" s="11"/>
    </row>
    <row r="761">
      <c r="D761" s="11"/>
      <c r="E761" s="11"/>
    </row>
    <row r="762">
      <c r="D762" s="11"/>
      <c r="E762" s="11"/>
    </row>
    <row r="763">
      <c r="D763" s="11"/>
      <c r="E763" s="11"/>
    </row>
    <row r="764">
      <c r="D764" s="11"/>
      <c r="E764" s="11"/>
    </row>
    <row r="765">
      <c r="D765" s="11"/>
      <c r="E765" s="11"/>
    </row>
    <row r="766">
      <c r="D766" s="11"/>
      <c r="E766" s="11"/>
    </row>
    <row r="767">
      <c r="D767" s="11"/>
      <c r="E767" s="11"/>
    </row>
    <row r="768">
      <c r="D768" s="11"/>
      <c r="E768" s="11"/>
    </row>
    <row r="769">
      <c r="D769" s="11"/>
      <c r="E769" s="11"/>
    </row>
    <row r="770">
      <c r="D770" s="11"/>
      <c r="E770" s="11"/>
    </row>
    <row r="771">
      <c r="D771" s="11"/>
      <c r="E771" s="11"/>
    </row>
    <row r="772">
      <c r="D772" s="11"/>
      <c r="E772" s="11"/>
    </row>
    <row r="773">
      <c r="D773" s="11"/>
      <c r="E773" s="11"/>
    </row>
    <row r="774">
      <c r="D774" s="11"/>
      <c r="E774" s="11"/>
    </row>
    <row r="775">
      <c r="D775" s="11"/>
      <c r="E775" s="11"/>
    </row>
    <row r="776">
      <c r="D776" s="11"/>
      <c r="E776" s="11"/>
    </row>
    <row r="777">
      <c r="D777" s="11"/>
      <c r="E777" s="11"/>
    </row>
    <row r="778">
      <c r="D778" s="11"/>
      <c r="E778" s="11"/>
    </row>
    <row r="779">
      <c r="D779" s="11"/>
      <c r="E779" s="11"/>
    </row>
    <row r="780">
      <c r="D780" s="11"/>
      <c r="E780" s="11"/>
    </row>
    <row r="781">
      <c r="D781" s="11"/>
      <c r="E781" s="11"/>
    </row>
    <row r="782">
      <c r="D782" s="11"/>
      <c r="E782" s="11"/>
    </row>
    <row r="783">
      <c r="D783" s="11"/>
      <c r="E783" s="11"/>
    </row>
    <row r="784">
      <c r="D784" s="11"/>
      <c r="E784" s="11"/>
    </row>
    <row r="785">
      <c r="D785" s="11"/>
      <c r="E785" s="11"/>
    </row>
    <row r="786">
      <c r="D786" s="11"/>
      <c r="E786" s="11"/>
    </row>
    <row r="787">
      <c r="D787" s="11"/>
      <c r="E787" s="11"/>
    </row>
    <row r="788">
      <c r="D788" s="11"/>
      <c r="E788" s="11"/>
    </row>
    <row r="789">
      <c r="D789" s="11"/>
      <c r="E789" s="11"/>
    </row>
    <row r="790">
      <c r="D790" s="11"/>
      <c r="E790" s="11"/>
    </row>
    <row r="791">
      <c r="D791" s="11"/>
      <c r="E791" s="11"/>
    </row>
    <row r="792">
      <c r="D792" s="11"/>
      <c r="E792" s="11"/>
    </row>
    <row r="793">
      <c r="D793" s="11"/>
      <c r="E793" s="11"/>
    </row>
    <row r="794">
      <c r="D794" s="11"/>
      <c r="E794" s="11"/>
    </row>
    <row r="795">
      <c r="D795" s="11"/>
      <c r="E795" s="11"/>
    </row>
    <row r="796">
      <c r="D796" s="11"/>
      <c r="E796" s="11"/>
    </row>
    <row r="797">
      <c r="D797" s="11"/>
      <c r="E797" s="11"/>
    </row>
    <row r="798">
      <c r="D798" s="11"/>
      <c r="E798" s="11"/>
    </row>
    <row r="799">
      <c r="D799" s="11"/>
      <c r="E799" s="11"/>
    </row>
    <row r="800">
      <c r="D800" s="11"/>
      <c r="E800" s="11"/>
    </row>
    <row r="801">
      <c r="D801" s="11"/>
      <c r="E801" s="11"/>
    </row>
    <row r="802">
      <c r="D802" s="11"/>
      <c r="E802" s="11"/>
    </row>
    <row r="803">
      <c r="D803" s="11"/>
      <c r="E803" s="11"/>
    </row>
    <row r="804">
      <c r="D804" s="11"/>
      <c r="E804" s="11"/>
    </row>
    <row r="805">
      <c r="D805" s="11"/>
      <c r="E805" s="11"/>
    </row>
    <row r="806">
      <c r="D806" s="11"/>
      <c r="E806" s="11"/>
    </row>
    <row r="807">
      <c r="D807" s="11"/>
      <c r="E807" s="11"/>
    </row>
    <row r="808">
      <c r="D808" s="11"/>
      <c r="E808" s="11"/>
    </row>
    <row r="809">
      <c r="D809" s="11"/>
      <c r="E809" s="11"/>
    </row>
    <row r="810">
      <c r="D810" s="11"/>
      <c r="E810" s="11"/>
    </row>
    <row r="811">
      <c r="D811" s="11"/>
      <c r="E811" s="11"/>
    </row>
    <row r="812">
      <c r="D812" s="11"/>
      <c r="E812" s="11"/>
    </row>
    <row r="813">
      <c r="D813" s="11"/>
      <c r="E813" s="11"/>
    </row>
    <row r="814">
      <c r="D814" s="11"/>
      <c r="E814" s="11"/>
    </row>
    <row r="815">
      <c r="D815" s="11"/>
      <c r="E815" s="11"/>
    </row>
    <row r="816">
      <c r="D816" s="11"/>
      <c r="E816" s="11"/>
    </row>
    <row r="817">
      <c r="D817" s="11"/>
      <c r="E817" s="11"/>
    </row>
    <row r="818">
      <c r="D818" s="11"/>
      <c r="E818" s="11"/>
    </row>
    <row r="819">
      <c r="D819" s="11"/>
      <c r="E819" s="11"/>
    </row>
    <row r="820">
      <c r="D820" s="11"/>
      <c r="E820" s="11"/>
    </row>
    <row r="821">
      <c r="D821" s="11"/>
      <c r="E821" s="11"/>
    </row>
    <row r="822">
      <c r="D822" s="11"/>
      <c r="E822" s="11"/>
    </row>
    <row r="823">
      <c r="D823" s="11"/>
      <c r="E823" s="11"/>
    </row>
    <row r="824">
      <c r="D824" s="11"/>
      <c r="E824" s="11"/>
    </row>
    <row r="825">
      <c r="D825" s="11"/>
      <c r="E825" s="11"/>
    </row>
    <row r="826">
      <c r="D826" s="11"/>
      <c r="E826" s="11"/>
    </row>
    <row r="827">
      <c r="D827" s="11"/>
      <c r="E827" s="11"/>
    </row>
    <row r="828">
      <c r="D828" s="11"/>
      <c r="E828" s="11"/>
    </row>
    <row r="829">
      <c r="D829" s="11"/>
      <c r="E829" s="11"/>
    </row>
    <row r="830">
      <c r="D830" s="11"/>
      <c r="E830" s="11"/>
    </row>
    <row r="831">
      <c r="D831" s="11"/>
      <c r="E831" s="11"/>
    </row>
    <row r="832">
      <c r="D832" s="11"/>
      <c r="E832" s="11"/>
    </row>
    <row r="833">
      <c r="D833" s="11"/>
      <c r="E833" s="11"/>
    </row>
    <row r="834">
      <c r="D834" s="11"/>
      <c r="E834" s="11"/>
    </row>
    <row r="835">
      <c r="D835" s="11"/>
      <c r="E835" s="11"/>
    </row>
    <row r="836">
      <c r="D836" s="11"/>
      <c r="E836" s="11"/>
    </row>
    <row r="837">
      <c r="D837" s="11"/>
      <c r="E837" s="11"/>
    </row>
    <row r="838">
      <c r="D838" s="11"/>
      <c r="E838" s="11"/>
    </row>
    <row r="839">
      <c r="D839" s="11"/>
      <c r="E839" s="11"/>
    </row>
    <row r="840">
      <c r="D840" s="11"/>
      <c r="E840" s="11"/>
    </row>
    <row r="841">
      <c r="D841" s="11"/>
      <c r="E841" s="11"/>
    </row>
    <row r="842">
      <c r="D842" s="11"/>
      <c r="E842" s="11"/>
    </row>
    <row r="843">
      <c r="D843" s="11"/>
      <c r="E843" s="11"/>
    </row>
    <row r="844">
      <c r="D844" s="11"/>
      <c r="E844" s="11"/>
    </row>
    <row r="845">
      <c r="D845" s="11"/>
      <c r="E845" s="11"/>
    </row>
    <row r="846">
      <c r="D846" s="11"/>
      <c r="E846" s="11"/>
    </row>
    <row r="847">
      <c r="D847" s="11"/>
      <c r="E847" s="11"/>
    </row>
    <row r="848">
      <c r="D848" s="11"/>
      <c r="E848" s="11"/>
    </row>
    <row r="849">
      <c r="D849" s="11"/>
      <c r="E849" s="11"/>
    </row>
    <row r="850">
      <c r="D850" s="11"/>
      <c r="E850" s="11"/>
    </row>
    <row r="851">
      <c r="D851" s="11"/>
      <c r="E851" s="11"/>
    </row>
    <row r="852">
      <c r="D852" s="11"/>
      <c r="E852" s="11"/>
    </row>
    <row r="853">
      <c r="D853" s="11"/>
      <c r="E853" s="11"/>
    </row>
    <row r="854">
      <c r="D854" s="11"/>
      <c r="E854" s="11"/>
    </row>
    <row r="855">
      <c r="D855" s="11"/>
      <c r="E855" s="11"/>
    </row>
    <row r="856">
      <c r="D856" s="11"/>
      <c r="E856" s="11"/>
    </row>
    <row r="857">
      <c r="D857" s="11"/>
      <c r="E857" s="11"/>
    </row>
    <row r="858">
      <c r="D858" s="11"/>
      <c r="E858" s="11"/>
    </row>
    <row r="859">
      <c r="D859" s="11"/>
      <c r="E859" s="11"/>
    </row>
    <row r="860">
      <c r="D860" s="11"/>
      <c r="E860" s="11"/>
    </row>
    <row r="861">
      <c r="D861" s="11"/>
      <c r="E861" s="11"/>
    </row>
    <row r="862">
      <c r="D862" s="11"/>
      <c r="E862" s="11"/>
    </row>
    <row r="863">
      <c r="D863" s="11"/>
      <c r="E863" s="11"/>
    </row>
    <row r="864">
      <c r="D864" s="11"/>
      <c r="E864" s="11"/>
    </row>
    <row r="865">
      <c r="D865" s="11"/>
      <c r="E865" s="11"/>
    </row>
    <row r="866">
      <c r="D866" s="11"/>
      <c r="E866" s="11"/>
    </row>
    <row r="867">
      <c r="D867" s="11"/>
      <c r="E867" s="11"/>
    </row>
    <row r="868">
      <c r="D868" s="11"/>
      <c r="E868" s="11"/>
    </row>
    <row r="869">
      <c r="D869" s="11"/>
      <c r="E869" s="11"/>
    </row>
    <row r="870">
      <c r="D870" s="11"/>
      <c r="E870" s="11"/>
    </row>
    <row r="871">
      <c r="D871" s="11"/>
      <c r="E871" s="11"/>
    </row>
    <row r="872">
      <c r="D872" s="11"/>
      <c r="E872" s="11"/>
    </row>
    <row r="873">
      <c r="D873" s="11"/>
      <c r="E873" s="11"/>
    </row>
    <row r="874">
      <c r="D874" s="11"/>
      <c r="E874" s="11"/>
    </row>
    <row r="875">
      <c r="D875" s="11"/>
      <c r="E875" s="11"/>
    </row>
    <row r="876">
      <c r="D876" s="11"/>
      <c r="E876" s="11"/>
    </row>
    <row r="877">
      <c r="D877" s="11"/>
      <c r="E877" s="11"/>
    </row>
    <row r="878">
      <c r="D878" s="11"/>
      <c r="E878" s="11"/>
    </row>
    <row r="879">
      <c r="D879" s="11"/>
      <c r="E879" s="11"/>
    </row>
    <row r="880">
      <c r="D880" s="11"/>
      <c r="E880" s="11"/>
    </row>
    <row r="881">
      <c r="D881" s="11"/>
      <c r="E881" s="11"/>
    </row>
    <row r="882">
      <c r="D882" s="11"/>
      <c r="E882" s="11"/>
    </row>
    <row r="883">
      <c r="D883" s="11"/>
      <c r="E883" s="11"/>
    </row>
    <row r="884">
      <c r="D884" s="11"/>
      <c r="E884" s="11"/>
    </row>
    <row r="885">
      <c r="D885" s="11"/>
      <c r="E885" s="11"/>
    </row>
    <row r="886">
      <c r="D886" s="11"/>
      <c r="E886" s="11"/>
    </row>
    <row r="887">
      <c r="D887" s="11"/>
      <c r="E887" s="11"/>
    </row>
    <row r="888">
      <c r="D888" s="11"/>
      <c r="E888" s="11"/>
    </row>
    <row r="889">
      <c r="D889" s="11"/>
      <c r="E889" s="11"/>
    </row>
    <row r="890">
      <c r="D890" s="11"/>
      <c r="E890" s="11"/>
    </row>
    <row r="891">
      <c r="D891" s="11"/>
      <c r="E891" s="11"/>
    </row>
    <row r="892">
      <c r="D892" s="11"/>
      <c r="E892" s="11"/>
    </row>
    <row r="893">
      <c r="D893" s="11"/>
      <c r="E893" s="11"/>
    </row>
    <row r="894">
      <c r="D894" s="11"/>
      <c r="E894" s="11"/>
    </row>
    <row r="895">
      <c r="D895" s="11"/>
      <c r="E895" s="11"/>
    </row>
    <row r="896">
      <c r="D896" s="11"/>
      <c r="E896" s="11"/>
    </row>
    <row r="897">
      <c r="D897" s="11"/>
      <c r="E897" s="11"/>
    </row>
    <row r="898">
      <c r="D898" s="11"/>
      <c r="E898" s="11"/>
    </row>
    <row r="899">
      <c r="D899" s="11"/>
      <c r="E899" s="11"/>
    </row>
    <row r="900">
      <c r="D900" s="11"/>
      <c r="E900" s="11"/>
    </row>
    <row r="901">
      <c r="D901" s="11"/>
      <c r="E901" s="11"/>
    </row>
    <row r="902">
      <c r="D902" s="11"/>
      <c r="E902" s="11"/>
    </row>
    <row r="903">
      <c r="D903" s="11"/>
      <c r="E903" s="11"/>
    </row>
    <row r="904">
      <c r="D904" s="11"/>
      <c r="E904" s="11"/>
    </row>
    <row r="905">
      <c r="D905" s="11"/>
      <c r="E905" s="11"/>
    </row>
    <row r="906">
      <c r="D906" s="11"/>
      <c r="E906" s="11"/>
    </row>
    <row r="907">
      <c r="D907" s="11"/>
      <c r="E907" s="11"/>
    </row>
    <row r="908">
      <c r="D908" s="11"/>
      <c r="E908" s="11"/>
    </row>
    <row r="909">
      <c r="D909" s="11"/>
      <c r="E909" s="11"/>
    </row>
    <row r="910">
      <c r="D910" s="11"/>
      <c r="E910" s="11"/>
    </row>
    <row r="911">
      <c r="D911" s="11"/>
      <c r="E911" s="11"/>
    </row>
    <row r="912">
      <c r="D912" s="11"/>
      <c r="E912" s="11"/>
    </row>
    <row r="913">
      <c r="D913" s="11"/>
      <c r="E913" s="11"/>
    </row>
    <row r="914">
      <c r="D914" s="11"/>
      <c r="E914" s="11"/>
    </row>
    <row r="915">
      <c r="D915" s="11"/>
      <c r="E915" s="11"/>
    </row>
    <row r="916">
      <c r="D916" s="11"/>
      <c r="E916" s="11"/>
    </row>
    <row r="917">
      <c r="D917" s="11"/>
      <c r="E917" s="11"/>
    </row>
    <row r="918">
      <c r="D918" s="11"/>
      <c r="E918" s="11"/>
    </row>
    <row r="919">
      <c r="D919" s="11"/>
      <c r="E919" s="11"/>
    </row>
    <row r="920">
      <c r="D920" s="11"/>
      <c r="E920" s="11"/>
    </row>
    <row r="921">
      <c r="D921" s="11"/>
      <c r="E921" s="11"/>
    </row>
    <row r="922">
      <c r="D922" s="11"/>
      <c r="E922" s="11"/>
    </row>
    <row r="923">
      <c r="D923" s="11"/>
      <c r="E923" s="11"/>
    </row>
    <row r="924">
      <c r="D924" s="11"/>
      <c r="E924" s="11"/>
    </row>
    <row r="925">
      <c r="D925" s="11"/>
      <c r="E925" s="11"/>
    </row>
    <row r="926">
      <c r="D926" s="11"/>
      <c r="E926" s="11"/>
    </row>
    <row r="927">
      <c r="D927" s="11"/>
      <c r="E927" s="11"/>
    </row>
    <row r="928">
      <c r="D928" s="11"/>
      <c r="E928" s="11"/>
    </row>
    <row r="929">
      <c r="D929" s="11"/>
      <c r="E929" s="11"/>
    </row>
    <row r="930">
      <c r="D930" s="11"/>
      <c r="E930" s="11"/>
    </row>
    <row r="931">
      <c r="D931" s="11"/>
      <c r="E931" s="11"/>
    </row>
    <row r="932">
      <c r="D932" s="11"/>
      <c r="E932" s="11"/>
    </row>
    <row r="933">
      <c r="D933" s="11"/>
      <c r="E933" s="11"/>
    </row>
    <row r="934">
      <c r="D934" s="11"/>
      <c r="E934" s="11"/>
    </row>
    <row r="935">
      <c r="D935" s="11"/>
      <c r="E935" s="11"/>
    </row>
    <row r="936">
      <c r="D936" s="11"/>
      <c r="E936" s="11"/>
    </row>
    <row r="937">
      <c r="D937" s="11"/>
      <c r="E937" s="11"/>
    </row>
    <row r="938">
      <c r="D938" s="11"/>
      <c r="E938" s="11"/>
    </row>
    <row r="939">
      <c r="D939" s="11"/>
      <c r="E939" s="11"/>
    </row>
    <row r="940">
      <c r="D940" s="11"/>
      <c r="E940" s="11"/>
    </row>
    <row r="941">
      <c r="D941" s="11"/>
      <c r="E941" s="11"/>
    </row>
    <row r="942">
      <c r="D942" s="11"/>
      <c r="E942" s="11"/>
    </row>
    <row r="943">
      <c r="D943" s="11"/>
      <c r="E943" s="11"/>
    </row>
    <row r="944">
      <c r="D944" s="11"/>
      <c r="E944" s="11"/>
    </row>
    <row r="945">
      <c r="D945" s="11"/>
      <c r="E945" s="11"/>
    </row>
    <row r="946">
      <c r="D946" s="11"/>
      <c r="E946" s="11"/>
    </row>
    <row r="947">
      <c r="D947" s="11"/>
      <c r="E947" s="11"/>
    </row>
    <row r="948">
      <c r="D948" s="11"/>
      <c r="E948" s="11"/>
    </row>
    <row r="949">
      <c r="D949" s="11"/>
      <c r="E949" s="11"/>
    </row>
    <row r="950">
      <c r="D950" s="11"/>
      <c r="E950" s="11"/>
    </row>
    <row r="951">
      <c r="D951" s="11"/>
      <c r="E951" s="11"/>
    </row>
    <row r="952">
      <c r="D952" s="11"/>
      <c r="E952" s="11"/>
    </row>
    <row r="953">
      <c r="D953" s="11"/>
      <c r="E953" s="11"/>
    </row>
    <row r="954">
      <c r="D954" s="11"/>
      <c r="E954" s="11"/>
    </row>
    <row r="955">
      <c r="D955" s="11"/>
      <c r="E955" s="11"/>
    </row>
    <row r="956">
      <c r="D956" s="11"/>
      <c r="E956" s="11"/>
    </row>
    <row r="957">
      <c r="D957" s="11"/>
      <c r="E957" s="11"/>
    </row>
    <row r="958">
      <c r="D958" s="11"/>
      <c r="E958" s="11"/>
    </row>
    <row r="959">
      <c r="D959" s="11"/>
      <c r="E959" s="11"/>
    </row>
    <row r="960">
      <c r="D960" s="11"/>
      <c r="E960" s="11"/>
    </row>
    <row r="961">
      <c r="D961" s="11"/>
      <c r="E961" s="11"/>
    </row>
    <row r="962">
      <c r="D962" s="11"/>
      <c r="E962" s="11"/>
    </row>
    <row r="963">
      <c r="D963" s="11"/>
      <c r="E963" s="11"/>
    </row>
    <row r="964">
      <c r="D964" s="11"/>
      <c r="E964" s="11"/>
    </row>
    <row r="965">
      <c r="D965" s="11"/>
      <c r="E965" s="11"/>
    </row>
    <row r="966">
      <c r="D966" s="11"/>
      <c r="E966" s="11"/>
    </row>
    <row r="967">
      <c r="D967" s="11"/>
      <c r="E967" s="11"/>
    </row>
    <row r="968">
      <c r="D968" s="11"/>
      <c r="E968" s="11"/>
    </row>
    <row r="969">
      <c r="D969" s="11"/>
      <c r="E969" s="11"/>
    </row>
    <row r="970">
      <c r="D970" s="11"/>
      <c r="E970" s="11"/>
    </row>
    <row r="971">
      <c r="D971" s="11"/>
      <c r="E971" s="11"/>
    </row>
    <row r="972">
      <c r="D972" s="11"/>
      <c r="E972" s="11"/>
    </row>
    <row r="973">
      <c r="D973" s="11"/>
      <c r="E973" s="11"/>
    </row>
    <row r="974">
      <c r="D974" s="11"/>
      <c r="E974" s="11"/>
    </row>
    <row r="975">
      <c r="D975" s="11"/>
      <c r="E975" s="11"/>
    </row>
    <row r="976">
      <c r="D976" s="11"/>
      <c r="E976" s="11"/>
    </row>
    <row r="977">
      <c r="D977" s="11"/>
      <c r="E977" s="11"/>
    </row>
    <row r="978">
      <c r="D978" s="11"/>
      <c r="E978" s="11"/>
    </row>
    <row r="979">
      <c r="D979" s="11"/>
      <c r="E979" s="11"/>
    </row>
    <row r="980">
      <c r="D980" s="11"/>
      <c r="E980" s="11"/>
    </row>
    <row r="981">
      <c r="D981" s="11"/>
      <c r="E981" s="11"/>
    </row>
    <row r="982">
      <c r="D982" s="11"/>
      <c r="E982" s="11"/>
    </row>
    <row r="983">
      <c r="D983" s="11"/>
      <c r="E983" s="11"/>
    </row>
    <row r="984">
      <c r="D984" s="11"/>
      <c r="E984" s="11"/>
    </row>
    <row r="985">
      <c r="D985" s="11"/>
      <c r="E985" s="11"/>
    </row>
    <row r="986">
      <c r="D986" s="11"/>
      <c r="E986" s="11"/>
    </row>
    <row r="987">
      <c r="D987" s="11"/>
      <c r="E987" s="11"/>
    </row>
    <row r="988">
      <c r="D988" s="11"/>
      <c r="E988" s="11"/>
    </row>
    <row r="989">
      <c r="D989" s="11"/>
      <c r="E989" s="11"/>
    </row>
    <row r="990">
      <c r="D990" s="11"/>
      <c r="E990" s="11"/>
    </row>
    <row r="991">
      <c r="D991" s="11"/>
      <c r="E991" s="11"/>
    </row>
    <row r="992">
      <c r="D992" s="11"/>
      <c r="E992" s="11"/>
    </row>
    <row r="993">
      <c r="D993" s="11"/>
      <c r="E993" s="11"/>
    </row>
    <row r="994">
      <c r="D994" s="11"/>
      <c r="E994" s="11"/>
    </row>
    <row r="995">
      <c r="D995" s="11"/>
      <c r="E995" s="11"/>
    </row>
    <row r="996">
      <c r="D996" s="11"/>
      <c r="E996" s="11"/>
    </row>
    <row r="997">
      <c r="D997" s="11"/>
      <c r="E997" s="11"/>
    </row>
    <row r="998">
      <c r="D998" s="11"/>
      <c r="E998" s="11"/>
    </row>
    <row r="999">
      <c r="D999" s="11"/>
      <c r="E999" s="11"/>
    </row>
    <row r="1000">
      <c r="D1000" s="11"/>
      <c r="E1000" s="11"/>
    </row>
  </sheetData>
  <autoFilter ref="$A$1:$E$1000"/>
  <drawing r:id="rId1"/>
</worksheet>
</file>