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uthentic\"/>
    </mc:Choice>
  </mc:AlternateContent>
  <xr:revisionPtr revIDLastSave="0" documentId="13_ncr:1_{01394048-7E43-48D0-ABA2-107AC7A852FB}" xr6:coauthVersionLast="47" xr6:coauthVersionMax="47" xr10:uidLastSave="{00000000-0000-0000-0000-000000000000}"/>
  <bookViews>
    <workbookView xWindow="-108" yWindow="-108" windowWidth="23256" windowHeight="12456" tabRatio="574" activeTab="3" xr2:uid="{00000000-000D-0000-FFFF-FFFF00000000}"/>
  </bookViews>
  <sheets>
    <sheet name="Deal Detail" sheetId="2" r:id="rId1"/>
    <sheet name="(1) Execution by Person by Year" sheetId="5" r:id="rId2"/>
    <sheet name="(2)Execution by Pillar by Month" sheetId="3" r:id="rId3"/>
    <sheet name="(3) Top 20 Deals" sheetId="6" r:id="rId4"/>
  </sheets>
  <definedNames>
    <definedName name="_xlnm._FilterDatabase" localSheetId="0" hidden="1">'Deal Detail'!$I$1:$I$106</definedName>
    <definedName name="ExternalData_1" localSheetId="3" hidden="1">'(3) Top 20 Deals'!#REF!</definedName>
    <definedName name="_xlnm.Print_Titles" localSheetId="0">'Deal Detail'!$4:$5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7" i="2" l="1"/>
  <c r="J39" i="6" s="1" a="1"/>
  <c r="J39" i="6" s="1"/>
  <c r="J14" i="6" a="1"/>
  <c r="J14" i="6" s="1"/>
  <c r="N13" i="2"/>
  <c r="N12" i="2"/>
  <c r="N11" i="2"/>
  <c r="H13" i="3"/>
  <c r="G13" i="3"/>
  <c r="F13" i="3"/>
  <c r="E13" i="3"/>
  <c r="D13" i="3"/>
  <c r="H12" i="3"/>
  <c r="G12" i="3"/>
  <c r="F12" i="3"/>
  <c r="E12" i="3"/>
  <c r="G11" i="3"/>
  <c r="E11" i="3"/>
  <c r="D12" i="3"/>
  <c r="C11" i="3"/>
  <c r="C13" i="3"/>
  <c r="C12" i="3"/>
  <c r="B13" i="3"/>
  <c r="B12" i="3"/>
  <c r="H11" i="3"/>
  <c r="F11" i="3"/>
  <c r="D11" i="3"/>
  <c r="B11" i="3"/>
  <c r="I2" i="2"/>
  <c r="F32" i="5"/>
  <c r="E32" i="5"/>
  <c r="D32" i="5"/>
  <c r="C32" i="5"/>
  <c r="F31" i="5"/>
  <c r="E31" i="5"/>
  <c r="D31" i="5"/>
  <c r="C31" i="5"/>
  <c r="F30" i="5"/>
  <c r="E30" i="5"/>
  <c r="D30" i="5"/>
  <c r="C30" i="5"/>
  <c r="F29" i="5"/>
  <c r="E29" i="5"/>
  <c r="D29" i="5"/>
  <c r="C29" i="5"/>
  <c r="F28" i="5"/>
  <c r="E28" i="5"/>
  <c r="D28" i="5"/>
  <c r="C28" i="5"/>
  <c r="F27" i="5"/>
  <c r="E27" i="5"/>
  <c r="D27" i="5"/>
  <c r="C27" i="5"/>
  <c r="B32" i="5"/>
  <c r="B31" i="5"/>
  <c r="B30" i="5"/>
  <c r="B29" i="5"/>
  <c r="B28" i="5"/>
  <c r="B27" i="5"/>
  <c r="F26" i="5"/>
  <c r="E26" i="5"/>
  <c r="D26" i="5"/>
  <c r="C26" i="5"/>
  <c r="B26" i="5"/>
  <c r="N19" i="5"/>
  <c r="M19" i="5"/>
  <c r="L19" i="5"/>
  <c r="K19" i="5"/>
  <c r="N18" i="5"/>
  <c r="M18" i="5"/>
  <c r="L18" i="5"/>
  <c r="K18" i="5"/>
  <c r="N17" i="5"/>
  <c r="M17" i="5"/>
  <c r="L17" i="5"/>
  <c r="K17" i="5"/>
  <c r="N16" i="5"/>
  <c r="M16" i="5"/>
  <c r="L16" i="5"/>
  <c r="K16" i="5"/>
  <c r="N15" i="5"/>
  <c r="M15" i="5"/>
  <c r="L15" i="5"/>
  <c r="K15" i="5"/>
  <c r="N14" i="5"/>
  <c r="M14" i="5"/>
  <c r="L14" i="5"/>
  <c r="K14" i="5"/>
  <c r="N13" i="5"/>
  <c r="M13" i="5"/>
  <c r="L13" i="5"/>
  <c r="K13" i="5"/>
  <c r="N12" i="5"/>
  <c r="M12" i="5"/>
  <c r="L12" i="5"/>
  <c r="K12" i="5"/>
  <c r="N11" i="5"/>
  <c r="M11" i="5"/>
  <c r="L11" i="5"/>
  <c r="K11" i="5"/>
  <c r="J19" i="5"/>
  <c r="J18" i="5"/>
  <c r="J17" i="5"/>
  <c r="J16" i="5"/>
  <c r="J15" i="5"/>
  <c r="J14" i="5"/>
  <c r="J13" i="5"/>
  <c r="J12" i="5"/>
  <c r="J11" i="5"/>
  <c r="N10" i="5"/>
  <c r="M10" i="5"/>
  <c r="L10" i="5"/>
  <c r="K10" i="5"/>
  <c r="J10" i="5"/>
  <c r="F19" i="5"/>
  <c r="F18" i="5"/>
  <c r="F17" i="5"/>
  <c r="F16" i="5"/>
  <c r="F15" i="5"/>
  <c r="F14" i="5"/>
  <c r="F13" i="5"/>
  <c r="F12" i="5"/>
  <c r="F11" i="5"/>
  <c r="E19" i="5"/>
  <c r="E18" i="5"/>
  <c r="E17" i="5"/>
  <c r="E16" i="5"/>
  <c r="E15" i="5"/>
  <c r="E14" i="5"/>
  <c r="E13" i="5"/>
  <c r="E12" i="5"/>
  <c r="E11" i="5"/>
  <c r="D19" i="5"/>
  <c r="D18" i="5"/>
  <c r="D17" i="5"/>
  <c r="D16" i="5"/>
  <c r="D15" i="5"/>
  <c r="D14" i="5"/>
  <c r="D13" i="5"/>
  <c r="D12" i="5"/>
  <c r="D11" i="5"/>
  <c r="C19" i="5"/>
  <c r="C18" i="5"/>
  <c r="C17" i="5"/>
  <c r="C16" i="5"/>
  <c r="C15" i="5"/>
  <c r="C14" i="5"/>
  <c r="C13" i="5"/>
  <c r="C12" i="5"/>
  <c r="C11" i="5"/>
  <c r="B19" i="5"/>
  <c r="B18" i="5"/>
  <c r="B17" i="5"/>
  <c r="B16" i="5"/>
  <c r="B15" i="5"/>
  <c r="B14" i="5"/>
  <c r="B13" i="5"/>
  <c r="B12" i="5"/>
  <c r="B11" i="5"/>
  <c r="F10" i="5"/>
  <c r="E10" i="5"/>
  <c r="D10" i="5"/>
  <c r="C10" i="5"/>
  <c r="B10" i="5"/>
  <c r="G14" i="5" l="1"/>
  <c r="G10" i="5"/>
  <c r="G14" i="3"/>
  <c r="G15" i="5"/>
  <c r="G17" i="5"/>
  <c r="G12" i="5"/>
  <c r="G11" i="5"/>
  <c r="G19" i="5"/>
  <c r="G18" i="5"/>
  <c r="G13" i="5"/>
  <c r="G16" i="5"/>
  <c r="O18" i="5"/>
  <c r="O16" i="5"/>
  <c r="O15" i="5"/>
  <c r="M20" i="5"/>
  <c r="O12" i="5"/>
  <c r="O10" i="5"/>
  <c r="G31" i="5"/>
  <c r="G30" i="5"/>
  <c r="G28" i="5"/>
  <c r="G27" i="5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0" i="2"/>
  <c r="N9" i="2"/>
  <c r="N8" i="2"/>
  <c r="L14" i="6" s="1" a="1"/>
  <c r="L14" i="6" s="1"/>
  <c r="N7" i="2"/>
  <c r="O19" i="5"/>
  <c r="O17" i="5"/>
  <c r="O14" i="5"/>
  <c r="O11" i="5"/>
  <c r="D33" i="5"/>
  <c r="G32" i="5"/>
  <c r="G29" i="5"/>
  <c r="K2" i="2"/>
  <c r="J2" i="2"/>
  <c r="M2" i="2"/>
  <c r="L2" i="2"/>
  <c r="L39" i="6" l="1" a="1"/>
  <c r="D17" i="6"/>
  <c r="F24" i="6"/>
  <c r="E22" i="6"/>
  <c r="B30" i="6"/>
  <c r="F26" i="6"/>
  <c r="C33" i="6"/>
  <c r="G30" i="6"/>
  <c r="C18" i="6"/>
  <c r="D22" i="6"/>
  <c r="H27" i="6"/>
  <c r="G14" i="6"/>
  <c r="H28" i="6"/>
  <c r="H30" i="6"/>
  <c r="C23" i="6"/>
  <c r="H23" i="6"/>
  <c r="E30" i="6"/>
  <c r="E14" i="6"/>
  <c r="E15" i="6"/>
  <c r="B23" i="6"/>
  <c r="F19" i="6"/>
  <c r="C26" i="6"/>
  <c r="G23" i="6"/>
  <c r="D30" i="6"/>
  <c r="G16" i="6"/>
  <c r="D23" i="6"/>
  <c r="B28" i="6"/>
  <c r="E20" i="6"/>
  <c r="H14" i="6"/>
  <c r="E27" i="6"/>
  <c r="H20" i="6"/>
  <c r="H21" i="6"/>
  <c r="H15" i="6"/>
  <c r="G17" i="6"/>
  <c r="D24" i="6"/>
  <c r="H29" i="6"/>
  <c r="B15" i="6"/>
  <c r="E26" i="6"/>
  <c r="H19" i="6"/>
  <c r="E33" i="6"/>
  <c r="H26" i="6"/>
  <c r="D29" i="6"/>
  <c r="G22" i="6"/>
  <c r="C25" i="6"/>
  <c r="F18" i="6"/>
  <c r="B22" i="6"/>
  <c r="F33" i="6"/>
  <c r="B14" i="6"/>
  <c r="C31" i="6"/>
  <c r="E29" i="6"/>
  <c r="D32" i="6"/>
  <c r="D25" i="6"/>
  <c r="E18" i="6"/>
  <c r="B33" i="6"/>
  <c r="H18" i="6"/>
  <c r="H33" i="6"/>
  <c r="C17" i="6"/>
  <c r="C32" i="6"/>
  <c r="F25" i="6"/>
  <c r="G19" i="6"/>
  <c r="H22" i="6"/>
  <c r="G33" i="6"/>
  <c r="D33" i="6"/>
  <c r="F29" i="6"/>
  <c r="E17" i="6"/>
  <c r="C14" i="6"/>
  <c r="E32" i="6"/>
  <c r="D28" i="6"/>
  <c r="G21" i="6"/>
  <c r="C24" i="6"/>
  <c r="F17" i="6"/>
  <c r="B21" i="6"/>
  <c r="F22" i="6"/>
  <c r="C29" i="6"/>
  <c r="F15" i="6"/>
  <c r="C22" i="6"/>
  <c r="C28" i="6"/>
  <c r="F21" i="6"/>
  <c r="B17" i="6"/>
  <c r="F28" i="6"/>
  <c r="B32" i="6"/>
  <c r="E24" i="6"/>
  <c r="H17" i="6"/>
  <c r="D20" i="6"/>
  <c r="H32" i="6"/>
  <c r="C16" i="6"/>
  <c r="G28" i="6"/>
  <c r="G27" i="6"/>
  <c r="E21" i="6"/>
  <c r="D16" i="6"/>
  <c r="E28" i="6"/>
  <c r="D15" i="6"/>
  <c r="G15" i="6"/>
  <c r="F14" i="6"/>
  <c r="G25" i="6"/>
  <c r="G18" i="6"/>
  <c r="B26" i="6"/>
  <c r="E25" i="6"/>
  <c r="D21" i="6"/>
  <c r="G29" i="6"/>
  <c r="F32" i="6"/>
  <c r="C21" i="6"/>
  <c r="G26" i="6"/>
  <c r="B18" i="6"/>
  <c r="B25" i="6"/>
  <c r="H25" i="6"/>
  <c r="D26" i="6"/>
  <c r="F30" i="6"/>
  <c r="B19" i="6"/>
  <c r="F23" i="6"/>
  <c r="C30" i="6"/>
  <c r="C20" i="6"/>
  <c r="G32" i="6"/>
  <c r="C27" i="6"/>
  <c r="F20" i="6"/>
  <c r="B24" i="6"/>
  <c r="E16" i="6"/>
  <c r="D14" i="6"/>
  <c r="E31" i="6"/>
  <c r="H24" i="6"/>
  <c r="D27" i="6"/>
  <c r="G20" i="6"/>
  <c r="C15" i="6"/>
  <c r="B29" i="6"/>
  <c r="E19" i="6"/>
  <c r="B27" i="6"/>
  <c r="F31" i="6"/>
  <c r="B20" i="6"/>
  <c r="D31" i="6"/>
  <c r="G24" i="6"/>
  <c r="C19" i="6"/>
  <c r="G31" i="6"/>
  <c r="B16" i="6"/>
  <c r="F27" i="6"/>
  <c r="B31" i="6"/>
  <c r="E23" i="6"/>
  <c r="H16" i="6"/>
  <c r="D19" i="6"/>
  <c r="H31" i="6"/>
  <c r="F16" i="6"/>
  <c r="D18" i="6"/>
  <c r="F33" i="5"/>
  <c r="D20" i="5"/>
  <c r="B20" i="5"/>
  <c r="F20" i="5"/>
  <c r="B33" i="5"/>
  <c r="E33" i="5"/>
  <c r="C33" i="5"/>
  <c r="K20" i="5"/>
  <c r="O13" i="5"/>
  <c r="L20" i="5"/>
  <c r="N20" i="5"/>
  <c r="J20" i="5"/>
  <c r="G26" i="5"/>
  <c r="E20" i="5"/>
  <c r="C20" i="5"/>
  <c r="H14" i="3"/>
  <c r="B14" i="3"/>
  <c r="E14" i="3"/>
  <c r="N2" i="2"/>
  <c r="L39" i="6" l="1"/>
  <c r="B39" i="6" s="1"/>
  <c r="C43" i="6"/>
  <c r="D39" i="6"/>
  <c r="G55" i="6"/>
  <c r="B58" i="6"/>
  <c r="E54" i="6"/>
  <c r="C57" i="6"/>
  <c r="D57" i="6"/>
  <c r="G53" i="6"/>
  <c r="B40" i="6"/>
  <c r="F56" i="6"/>
  <c r="D47" i="6"/>
  <c r="B54" i="6"/>
  <c r="E50" i="6"/>
  <c r="B52" i="6"/>
  <c r="E48" i="6"/>
  <c r="C46" i="6"/>
  <c r="B43" i="6"/>
  <c r="D45" i="6"/>
  <c r="D58" i="6"/>
  <c r="G54" i="6"/>
  <c r="B41" i="6"/>
  <c r="G57" i="6"/>
  <c r="D40" i="6"/>
  <c r="F47" i="6"/>
  <c r="G50" i="6"/>
  <c r="G48" i="6"/>
  <c r="C55" i="6"/>
  <c r="E41" i="6"/>
  <c r="D50" i="6"/>
  <c r="G46" i="6"/>
  <c r="C53" i="6"/>
  <c r="F49" i="6"/>
  <c r="B56" i="6"/>
  <c r="B55" i="6"/>
  <c r="G39" i="6"/>
  <c r="G42" i="6"/>
  <c r="D44" i="6"/>
  <c r="F43" i="6"/>
  <c r="F41" i="6"/>
  <c r="D55" i="6"/>
  <c r="G51" i="6"/>
  <c r="G41" i="6"/>
  <c r="C49" i="6"/>
  <c r="D51" i="6"/>
  <c r="G47" i="6"/>
  <c r="B50" i="6"/>
  <c r="E46" i="6"/>
  <c r="E57" i="6"/>
  <c r="D49" i="6"/>
  <c r="G45" i="6"/>
  <c r="C52" i="6"/>
  <c r="F48" i="6"/>
  <c r="E39" i="6"/>
  <c r="B46" i="6"/>
  <c r="E42" i="6"/>
  <c r="B44" i="6"/>
  <c r="E40" i="6"/>
  <c r="B51" i="6"/>
  <c r="E45" i="6"/>
  <c r="D48" i="6"/>
  <c r="F55" i="6"/>
  <c r="G58" i="6"/>
  <c r="G56" i="6"/>
  <c r="E49" i="6"/>
  <c r="D43" i="6"/>
  <c r="B47" i="6"/>
  <c r="B42" i="6"/>
  <c r="F58" i="6"/>
  <c r="F45" i="6"/>
  <c r="D41" i="6"/>
  <c r="C51" i="6"/>
  <c r="C44" i="6"/>
  <c r="F40" i="6"/>
  <c r="E51" i="6"/>
  <c r="C58" i="6"/>
  <c r="F54" i="6"/>
  <c r="C56" i="6"/>
  <c r="F52" i="6"/>
  <c r="E47" i="6"/>
  <c r="C41" i="6"/>
  <c r="F42" i="6"/>
  <c r="B49" i="6"/>
  <c r="D53" i="6"/>
  <c r="G44" i="6"/>
  <c r="C42" i="6"/>
  <c r="C40" i="6"/>
  <c r="F39" i="6"/>
  <c r="F57" i="6"/>
  <c r="G43" i="6"/>
  <c r="D54" i="6"/>
  <c r="D52" i="6"/>
  <c r="F51" i="6"/>
  <c r="E52" i="6"/>
  <c r="D46" i="6"/>
  <c r="G40" i="6"/>
  <c r="C47" i="6"/>
  <c r="F53" i="6"/>
  <c r="D42" i="6"/>
  <c r="C39" i="6"/>
  <c r="C45" i="6"/>
  <c r="B48" i="6"/>
  <c r="E44" i="6"/>
  <c r="E58" i="6"/>
  <c r="E56" i="6"/>
  <c r="G49" i="6"/>
  <c r="E55" i="6"/>
  <c r="B53" i="6"/>
  <c r="C54" i="6"/>
  <c r="F50" i="6"/>
  <c r="B57" i="6"/>
  <c r="E53" i="6"/>
  <c r="B45" i="6"/>
  <c r="D56" i="6"/>
  <c r="G52" i="6"/>
  <c r="E43" i="6"/>
  <c r="C50" i="6"/>
  <c r="F46" i="6"/>
  <c r="C48" i="6"/>
  <c r="F44" i="6"/>
  <c r="H52" i="6"/>
  <c r="H55" i="6"/>
  <c r="H44" i="6"/>
  <c r="H53" i="6"/>
  <c r="H47" i="6"/>
  <c r="H45" i="6"/>
  <c r="H57" i="6"/>
  <c r="H54" i="6"/>
  <c r="H49" i="6"/>
  <c r="H46" i="6"/>
  <c r="H39" i="6"/>
  <c r="H51" i="6"/>
  <c r="H41" i="6"/>
  <c r="H56" i="6"/>
  <c r="H43" i="6"/>
  <c r="H58" i="6"/>
  <c r="H48" i="6"/>
  <c r="H50" i="6"/>
  <c r="H40" i="6"/>
  <c r="H42" i="6"/>
  <c r="G20" i="5"/>
  <c r="G33" i="5"/>
  <c r="F14" i="3"/>
  <c r="D14" i="3"/>
  <c r="I11" i="3"/>
  <c r="I12" i="3"/>
  <c r="O20" i="5"/>
  <c r="I13" i="3"/>
  <c r="C14" i="3"/>
  <c r="I1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CEE7D-3986-4AAF-98AE-C849DB169042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xr16:uid="{82F81753-5154-46AE-91AD-9230580E286D}" keepAlive="1" name="Query - Table2_1" description="Connection to the 'Table2_1' query in the workbook." type="5" refreshedVersion="0" background="1">
    <dbPr connection="Provider=Microsoft.Mashup.OleDb.1;Data Source=$Workbook$;Location=Table2_1;Extended Properties=&quot;&quot;" command="SELECT * FROM [Table2_1]"/>
  </connection>
  <connection id="3" xr16:uid="{4AD682C5-9096-4409-B15D-9662DBE74636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4" xr16:uid="{6E7B7381-89DE-4D44-97EB-D507DF9113CD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<sst xmlns="http://schemas.openxmlformats.org/spreadsheetml/2006/main" count="831" uniqueCount="208">
  <si>
    <t>Google</t>
  </si>
  <si>
    <t>Wegmans Food Markets</t>
  </si>
  <si>
    <t>The Boston Consulting Group</t>
  </si>
  <si>
    <t>Baird</t>
  </si>
  <si>
    <t>Edward Jones</t>
  </si>
  <si>
    <t>Genentech</t>
  </si>
  <si>
    <t>Ultimate Software</t>
  </si>
  <si>
    <t>Salesforce</t>
  </si>
  <si>
    <t>Acuity</t>
  </si>
  <si>
    <t>Quicken Loans</t>
  </si>
  <si>
    <t>Kimley-Horn</t>
  </si>
  <si>
    <t>KPMG</t>
  </si>
  <si>
    <t>Intuit</t>
  </si>
  <si>
    <t>Kimpton Hotels &amp; Restaurants</t>
  </si>
  <si>
    <t>SAS</t>
  </si>
  <si>
    <t>Burns &amp; McDonnell</t>
  </si>
  <si>
    <t>Capital One</t>
  </si>
  <si>
    <t>Workday</t>
  </si>
  <si>
    <t>Stryker</t>
  </si>
  <si>
    <t>CHG Healthcare Services</t>
  </si>
  <si>
    <t>Publix Super Markets</t>
  </si>
  <si>
    <t>Camden Property Trust</t>
  </si>
  <si>
    <t>PwC</t>
  </si>
  <si>
    <t>David Weekley Homes</t>
  </si>
  <si>
    <t>Cooley</t>
  </si>
  <si>
    <t>Hilton</t>
  </si>
  <si>
    <t>Veterans United Home Loans</t>
  </si>
  <si>
    <t>REI</t>
  </si>
  <si>
    <t>EY</t>
  </si>
  <si>
    <t>Nugget Market</t>
  </si>
  <si>
    <t>Texas Health Resources</t>
  </si>
  <si>
    <t>Hyatt</t>
  </si>
  <si>
    <t>Marriott International</t>
  </si>
  <si>
    <t>Pinnacle Financial Partners</t>
  </si>
  <si>
    <t>USAA</t>
  </si>
  <si>
    <t>St. Jude Children’s Research Hospital</t>
  </si>
  <si>
    <t>NuStar Energy</t>
  </si>
  <si>
    <t>ARI</t>
  </si>
  <si>
    <t>Nvidia</t>
  </si>
  <si>
    <t>World Wide Technology</t>
  </si>
  <si>
    <t>Hilcorp</t>
  </si>
  <si>
    <t>VMware</t>
  </si>
  <si>
    <t>Credit Acceptance</t>
  </si>
  <si>
    <t>TDIndustries</t>
  </si>
  <si>
    <t>Scripps Health</t>
  </si>
  <si>
    <t>Atlantic Health System</t>
  </si>
  <si>
    <t>Navy Federal Credit Union</t>
  </si>
  <si>
    <t>The Cheesecake Factory</t>
  </si>
  <si>
    <t>The Container Store</t>
  </si>
  <si>
    <t>Mars</t>
  </si>
  <si>
    <t>Plante &amp; Moran</t>
  </si>
  <si>
    <t>W. L. Gore &amp; Associates</t>
  </si>
  <si>
    <t>Perkins Coie</t>
  </si>
  <si>
    <t>Nationwide</t>
  </si>
  <si>
    <t>JM Family Enterprises</t>
  </si>
  <si>
    <t>Children’s Healthcare of Atlanta</t>
  </si>
  <si>
    <t>Encompass Home Health And Hospice</t>
  </si>
  <si>
    <t>Whole Foods Market</t>
  </si>
  <si>
    <t>SAP America</t>
  </si>
  <si>
    <t>Adobe Systems</t>
  </si>
  <si>
    <t>Southern Ohio Medical Center</t>
  </si>
  <si>
    <t>Goldman Sachs</t>
  </si>
  <si>
    <t>Delta Air Lines</t>
  </si>
  <si>
    <t>Deloitte</t>
  </si>
  <si>
    <t>Alston &amp; Bird</t>
  </si>
  <si>
    <t>Activision Blizzard</t>
  </si>
  <si>
    <t>Cisco</t>
  </si>
  <si>
    <t>QuikTrip</t>
  </si>
  <si>
    <t>American Express</t>
  </si>
  <si>
    <t>Roche Diagnostics</t>
  </si>
  <si>
    <t>Autodesk</t>
  </si>
  <si>
    <t>IKEA Holding U.S.</t>
  </si>
  <si>
    <t>Novo Nordisk</t>
  </si>
  <si>
    <t>Rackspace</t>
  </si>
  <si>
    <t>Hyland</t>
  </si>
  <si>
    <t>Build-A-Bear Workshop</t>
  </si>
  <si>
    <t>CarMax</t>
  </si>
  <si>
    <t>Slalom</t>
  </si>
  <si>
    <t>Four Seasons Hotels &amp; Resorts</t>
  </si>
  <si>
    <t>Protiviti</t>
  </si>
  <si>
    <t>Cadence</t>
  </si>
  <si>
    <t>First American Financial Corporation</t>
  </si>
  <si>
    <t>TEKsystems</t>
  </si>
  <si>
    <t>Mayo Clinic</t>
  </si>
  <si>
    <t>Regeneron Pharmaceuticals</t>
  </si>
  <si>
    <t>OhioHealth</t>
  </si>
  <si>
    <t>Sheetz</t>
  </si>
  <si>
    <t>Accenture</t>
  </si>
  <si>
    <t>American Fidelity Assurance</t>
  </si>
  <si>
    <t>Bright Horizons Family Solutions</t>
  </si>
  <si>
    <t>Aflac</t>
  </si>
  <si>
    <t>Methodist Le Bonheur Healthcare</t>
  </si>
  <si>
    <t>AT&amp;T</t>
  </si>
  <si>
    <t>Nordstrom</t>
  </si>
  <si>
    <t>Baker Donelson</t>
  </si>
  <si>
    <t>Orrick, Herrington &amp; Sutcliffe</t>
  </si>
  <si>
    <t>Baptist Health South Florida</t>
  </si>
  <si>
    <t>PCL Construction</t>
  </si>
  <si>
    <t>FedEx</t>
  </si>
  <si>
    <t>Agreement</t>
  </si>
  <si>
    <t>Brand</t>
  </si>
  <si>
    <t>Business Lead</t>
  </si>
  <si>
    <t>Legal Lead</t>
  </si>
  <si>
    <t>Bridgette</t>
  </si>
  <si>
    <t>Eric</t>
  </si>
  <si>
    <t>Jay</t>
  </si>
  <si>
    <t>Joe</t>
  </si>
  <si>
    <t>Nicole</t>
  </si>
  <si>
    <t>Noah</t>
  </si>
  <si>
    <t>Pamela</t>
  </si>
  <si>
    <t>Phil</t>
  </si>
  <si>
    <t>Rebecca</t>
  </si>
  <si>
    <t>Sarah</t>
  </si>
  <si>
    <t>Adam G</t>
  </si>
  <si>
    <t>Ali</t>
  </si>
  <si>
    <t>Amie K</t>
  </si>
  <si>
    <t>Ber-tia</t>
  </si>
  <si>
    <t>Brian</t>
  </si>
  <si>
    <t>Christina M</t>
  </si>
  <si>
    <t>Colin</t>
  </si>
  <si>
    <t>Corey</t>
  </si>
  <si>
    <t>Dawn</t>
  </si>
  <si>
    <t>Dilson</t>
  </si>
  <si>
    <t>Colin/Perry</t>
  </si>
  <si>
    <t>Jamie</t>
  </si>
  <si>
    <t>John E</t>
  </si>
  <si>
    <t>Julie/Ken</t>
  </si>
  <si>
    <t>Nick/Jarrod</t>
  </si>
  <si>
    <t>Vinny</t>
  </si>
  <si>
    <t>Dr. J</t>
  </si>
  <si>
    <t>Elvis Presley</t>
  </si>
  <si>
    <t>Greg Norman</t>
  </si>
  <si>
    <t>Marilyn Monroe</t>
  </si>
  <si>
    <t>Pillar</t>
  </si>
  <si>
    <t>Entertainment</t>
  </si>
  <si>
    <t>Muhammad Ali</t>
  </si>
  <si>
    <t>Shaquille O'Neal</t>
  </si>
  <si>
    <t>Thalia</t>
  </si>
  <si>
    <t>Lifestyle</t>
  </si>
  <si>
    <t>Adrienne Vittadini</t>
  </si>
  <si>
    <t>Aeropostale</t>
  </si>
  <si>
    <t>Frederick's of Hollywood</t>
  </si>
  <si>
    <t>Frye</t>
  </si>
  <si>
    <t>Hart Schaffner Marx</t>
  </si>
  <si>
    <t>Jones New York</t>
  </si>
  <si>
    <t>Judith Leiber</t>
  </si>
  <si>
    <t>Juicy Couture</t>
  </si>
  <si>
    <t>Sports</t>
  </si>
  <si>
    <t>Airwalk</t>
  </si>
  <si>
    <t>Prince</t>
  </si>
  <si>
    <t>Spyder</t>
  </si>
  <si>
    <t>Tapout</t>
  </si>
  <si>
    <t>Tretorn</t>
  </si>
  <si>
    <t>Business</t>
  </si>
  <si>
    <t>Lead</t>
  </si>
  <si>
    <t>Legal</t>
  </si>
  <si>
    <t>Executive</t>
  </si>
  <si>
    <t>Sponsor</t>
  </si>
  <si>
    <t>Merch</t>
  </si>
  <si>
    <t>NIL</t>
  </si>
  <si>
    <t>Music/Ent</t>
  </si>
  <si>
    <t>Deal Execution by Pillar by Month</t>
  </si>
  <si>
    <t xml:space="preserve">Summarize the Deal Detail tab using the table below. </t>
  </si>
  <si>
    <t>Instructions:</t>
  </si>
  <si>
    <t>TOTAL</t>
  </si>
  <si>
    <t>Jan</t>
  </si>
  <si>
    <t>Feb</t>
  </si>
  <si>
    <t>Mar</t>
  </si>
  <si>
    <t>Apr</t>
  </si>
  <si>
    <t>May</t>
  </si>
  <si>
    <t>Jun</t>
  </si>
  <si>
    <t>Jul</t>
  </si>
  <si>
    <t>2017 YTD</t>
  </si>
  <si>
    <t>Write formulas in the shaded cells to find the 2017 value of deals executed within each given month for each pillar.</t>
  </si>
  <si>
    <t>Deal Execution by Person by Year</t>
  </si>
  <si>
    <t>Total:</t>
  </si>
  <si>
    <t>Allianz Life Insurance Company of NA</t>
  </si>
  <si>
    <t>5-Yr Total</t>
  </si>
  <si>
    <t>Rank</t>
  </si>
  <si>
    <t>Sample Data Set: Deals Signed Year-To-Date</t>
  </si>
  <si>
    <t xml:space="preserve">possible that some deals will appear on both lists, but the lists are otherwise independent. Some deals are for more years </t>
  </si>
  <si>
    <t>dynamic and should update automatically (including resorting) when information on the Deal Detail tab is updated.</t>
  </si>
  <si>
    <t xml:space="preserve">than others, so a deal with the largest 2017 value may not have the largest 5-Yr Total value. The tables below should be </t>
  </si>
  <si>
    <t>Top 20 Deals: 2017 and 5-Yr Total</t>
  </si>
  <si>
    <t xml:space="preserve">Write formulas in the shaded cells to provide a dynamic list of Top 20 Deals. The two lists below are independent. It's </t>
  </si>
  <si>
    <t xml:space="preserve">Summarize the Deal Detail tab using the tables below. </t>
  </si>
  <si>
    <t>The Grand Total should equal the 2017 Total from the Deal Detail tab.</t>
  </si>
  <si>
    <t>Write formulas in the shaded cells to find the total executed deal values by year by person.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</si>
  <si>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</si>
  <si>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</si>
  <si>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</si>
  <si>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</si>
  <si>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</si>
  <si>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</si>
  <si>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</si>
  <si>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</si>
  <si>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Executive Sponsor</t>
  </si>
  <si>
    <t>Deal Type</t>
  </si>
  <si>
    <t>Date Signed</t>
  </si>
  <si>
    <t xml:space="preserve">2017 Top 20 </t>
  </si>
  <si>
    <t>5 Yr Total</t>
  </si>
  <si>
    <t>5-Yr Total Top 20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</si>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</sst>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indexed="64"/>
      </left>
      <right style="thin">
        <color theme="6"/>
      </right>
      <top style="thin">
        <color theme="6"/>
      </top>
      <bottom/>
      <diagonal/>
    </border>
    <border>
      <left style="thin">
        <color indexed="64"/>
      </left>
      <right style="thin">
        <color theme="6"/>
      </right>
      <top style="thin">
        <color indexed="64"/>
      </top>
      <bottom/>
      <diagonal/>
    </border>
    <border>
      <left style="thin">
        <color indexed="64"/>
      </left>
      <right style="thin">
        <color theme="6"/>
      </right>
      <top style="medium">
        <color indexed="64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165" fontId="0" fillId="0" borderId="0" xfId="1" applyNumberFormat="1" applyFont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Continuous"/>
    </xf>
    <xf numFmtId="0" fontId="3" fillId="0" borderId="0" xfId="0" applyFont="1"/>
    <xf numFmtId="0" fontId="2" fillId="0" borderId="2" xfId="0" quotePrefix="1" applyFont="1" applyBorder="1"/>
    <xf numFmtId="165" fontId="0" fillId="0" borderId="3" xfId="1" applyNumberFormat="1" applyFont="1" applyBorder="1"/>
    <xf numFmtId="0" fontId="4" fillId="0" borderId="0" xfId="0" applyFont="1"/>
    <xf numFmtId="0" fontId="0" fillId="0" borderId="3" xfId="0" applyBorder="1"/>
    <xf numFmtId="165" fontId="2" fillId="0" borderId="0" xfId="1" applyNumberFormat="1" applyFont="1"/>
    <xf numFmtId="165" fontId="2" fillId="0" borderId="3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165" fontId="5" fillId="0" borderId="3" xfId="1" applyNumberFormat="1" applyFont="1" applyBorder="1"/>
    <xf numFmtId="165" fontId="5" fillId="0" borderId="0" xfId="0" applyNumberFormat="1" applyFont="1"/>
    <xf numFmtId="165" fontId="5" fillId="0" borderId="3" xfId="0" applyNumberFormat="1" applyFont="1" applyBorder="1"/>
    <xf numFmtId="0" fontId="2" fillId="0" borderId="1" xfId="0" applyFon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2" fillId="0" borderId="9" xfId="0" applyFont="1" applyBorder="1" applyAlignment="1">
      <alignment horizontal="right"/>
    </xf>
    <xf numFmtId="0" fontId="0" fillId="0" borderId="10" xfId="0" applyBorder="1"/>
    <xf numFmtId="0" fontId="0" fillId="0" borderId="0" xfId="1" applyNumberFormat="1" applyFont="1" applyBorder="1"/>
    <xf numFmtId="0" fontId="1" fillId="0" borderId="0" xfId="0" applyFont="1"/>
    <xf numFmtId="0" fontId="0" fillId="0" borderId="5" xfId="0" applyBorder="1"/>
    <xf numFmtId="0" fontId="2" fillId="0" borderId="4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5" fontId="0" fillId="0" borderId="0" xfId="0" applyNumberFormat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1" xfId="0" applyBorder="1"/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7" fillId="0" borderId="13" xfId="0" applyFont="1" applyBorder="1"/>
    <xf numFmtId="0" fontId="6" fillId="0" borderId="13" xfId="0" applyFont="1" applyBorder="1"/>
    <xf numFmtId="0" fontId="6" fillId="0" borderId="14" xfId="0" applyFont="1" applyBorder="1"/>
    <xf numFmtId="0" fontId="8" fillId="0" borderId="12" xfId="0" applyFont="1" applyBorder="1"/>
    <xf numFmtId="165" fontId="5" fillId="0" borderId="14" xfId="0" applyNumberFormat="1" applyFont="1" applyBorder="1"/>
    <xf numFmtId="0" fontId="2" fillId="0" borderId="15" xfId="0" applyFont="1" applyBorder="1" applyAlignment="1">
      <alignment horizontal="centerContinuous"/>
    </xf>
    <xf numFmtId="0" fontId="2" fillId="0" borderId="16" xfId="0" applyFont="1" applyBorder="1"/>
    <xf numFmtId="165" fontId="0" fillId="0" borderId="17" xfId="1" applyNumberFormat="1" applyFont="1" applyFill="1" applyBorder="1"/>
    <xf numFmtId="165" fontId="0" fillId="0" borderId="15" xfId="1" applyNumberFormat="1" applyFont="1" applyFill="1" applyBorder="1"/>
    <xf numFmtId="0" fontId="0" fillId="0" borderId="20" xfId="0" applyBorder="1"/>
    <xf numFmtId="0" fontId="0" fillId="0" borderId="14" xfId="0" applyBorder="1"/>
    <xf numFmtId="0" fontId="9" fillId="0" borderId="0" xfId="0" applyFont="1"/>
    <xf numFmtId="0" fontId="0" fillId="0" borderId="1" xfId="0" applyBorder="1"/>
    <xf numFmtId="165" fontId="2" fillId="0" borderId="0" xfId="0" applyNumberFormat="1" applyFont="1"/>
    <xf numFmtId="49" fontId="2" fillId="0" borderId="6" xfId="0" quotePrefix="1" applyNumberFormat="1" applyFont="1" applyBorder="1" applyAlignment="1">
      <alignment horizontal="right"/>
    </xf>
    <xf numFmtId="0" fontId="0" fillId="0" borderId="1" xfId="1" applyNumberFormat="1" applyFont="1" applyBorder="1"/>
    <xf numFmtId="0" fontId="10" fillId="0" borderId="0" xfId="0" applyFont="1"/>
    <xf numFmtId="14" fontId="0" fillId="0" borderId="0" xfId="0" applyNumberFormat="1"/>
    <xf numFmtId="0" fontId="0" fillId="0" borderId="0" xfId="1" applyNumberFormat="1" applyFont="1" applyFill="1" applyBorder="1"/>
    <xf numFmtId="165" fontId="9" fillId="0" borderId="10" xfId="0" applyNumberFormat="1" applyFont="1" applyBorder="1"/>
    <xf numFmtId="165" fontId="9" fillId="0" borderId="9" xfId="0" applyNumberFormat="1" applyFont="1" applyBorder="1"/>
    <xf numFmtId="3" fontId="10" fillId="0" borderId="0" xfId="0" applyNumberFormat="1" applyFont="1" applyAlignment="1">
      <alignment horizontal="left"/>
    </xf>
    <xf numFmtId="3" fontId="10" fillId="0" borderId="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36">
    <dxf>
      <fill>
        <patternFill>
          <bgColor theme="5" tint="0.79998168889431442"/>
        </patternFill>
      </fill>
      <border>
        <left style="thin">
          <color theme="5" tint="0.59996337778862885"/>
        </lef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5" tint="0.79998168889431442"/>
        </patternFill>
      </fill>
      <border>
        <left style="thin">
          <color theme="5" tint="0.59996337778862885"/>
        </lef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5" tint="0.79998168889431442"/>
        </patternFill>
      </fill>
      <border>
        <left style="thin">
          <color theme="5" tint="0.59996337778862885"/>
        </lef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5" tint="0.79998168889431442"/>
        </patternFill>
      </fill>
      <border>
        <left style="thin">
          <color theme="5" tint="0.59996337778862885"/>
        </lef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5" tint="0.79998168889431442"/>
        </patternFill>
      </fill>
      <border>
        <left style="thin">
          <color theme="5" tint="0.59996337778862885"/>
        </left>
        <top style="thin">
          <color theme="5" tint="0.59996337778862885"/>
        </top>
        <bottom style="thin">
          <color theme="5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m/dd/yy;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Continuous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5E81C1-9ABE-4E20-B621-C60A4FF4937F}" name="Table5" displayName="Table5" ref="A5:N107" headerRowDxfId="35" dataDxfId="34" tableBorderDxfId="33" dataCellStyle="Comma">
  <autoFilter ref="A5:N107" xr:uid="{DE5E81C1-9ABE-4E20-B621-C60A4FF4937F}"/>
  <tableColumns count="14">
    <tableColumn id="1" xr3:uid="{4AAC9CAA-9547-4B9A-808B-97F9B032865B}" name="Column1" totalsRowLabel="Total" dataDxfId="32" totalsRowDxfId="31"/>
    <tableColumn id="2" xr3:uid="{00FB091F-F045-4AC1-A98A-65768AB7A913}" name="Column2" dataDxfId="30" totalsRowDxfId="29"/>
    <tableColumn id="3" xr3:uid="{2D081ED3-F48E-4090-BB1F-1EA7149A6811}" name="Column3" dataDxfId="28" totalsRowDxfId="27"/>
    <tableColumn id="4" xr3:uid="{55104D8A-3C93-480D-A79D-0AC426A23CFF}" name="Column4" dataDxfId="26" totalsRowDxfId="25"/>
    <tableColumn id="5" xr3:uid="{B16206DB-3949-4B2B-B43C-F8A03EB0476B}" name="Column5" dataDxfId="24" totalsRowDxfId="23"/>
    <tableColumn id="6" xr3:uid="{6944248E-1C8C-4183-83A4-41B688AAD628}" name="Column6" dataDxfId="22" totalsRowDxfId="21"/>
    <tableColumn id="7" xr3:uid="{3B418F74-6FCE-4E3E-BCE8-81A98D1C545D}" name="Column7" dataDxfId="20" totalsRowDxfId="19"/>
    <tableColumn id="8" xr3:uid="{C80316FC-9F49-4178-993D-1A262BDF97E8}" name="Column8" dataDxfId="18" totalsRowDxfId="17"/>
    <tableColumn id="9" xr3:uid="{ACC4328D-5E5A-4B44-B546-DF44B901F6F7}" name="Column9" dataDxfId="16" totalsRowDxfId="15" dataCellStyle="Comma"/>
    <tableColumn id="10" xr3:uid="{0FF389A8-70AC-4C2B-8C57-5B1ED6F2E2A9}" name="Column10" dataDxfId="14" totalsRowDxfId="13" dataCellStyle="Comma"/>
    <tableColumn id="11" xr3:uid="{0C4C5085-9B46-4809-ABBF-4050AD71FA49}" name="Column11" dataDxfId="12" totalsRowDxfId="11" dataCellStyle="Comma"/>
    <tableColumn id="12" xr3:uid="{D2D5BE98-EFED-4FD0-A09E-697371DF86DC}" name="Column12" dataDxfId="10" totalsRowDxfId="9" dataCellStyle="Comma"/>
    <tableColumn id="13" xr3:uid="{508E7836-E3A6-45F9-99C8-B5EDE6C60B22}" name="Column13" dataDxfId="8" totalsRowDxfId="7" dataCellStyle="Comma"/>
    <tableColumn id="14" xr3:uid="{6EA4D7B1-7694-4B1A-B2B1-4D60A4922C1E}" name="Column14" totalsRowFunction="count" dataDxfId="6" totalsRowDxfId="5" dataCellStyle="Comma">
      <calculatedColumnFormula>SUM(I6:M6)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48575"/>
  <sheetViews>
    <sheetView workbookViewId="0">
      <pane ySplit="5" topLeftCell="A10" activePane="bottomLeft" state="frozen"/>
      <selection pane="bottomLeft" activeCell="N5" sqref="N5"/>
    </sheetView>
  </sheetViews>
  <sheetFormatPr defaultRowHeight="14.4" x14ac:dyDescent="0.3"/>
  <cols>
    <col min="1" max="1" width="39.5546875" style="30" customWidth="1"/>
    <col min="2" max="2" width="23.33203125" style="31" bestFit="1" customWidth="1"/>
    <col min="3" max="3" width="35" style="31" bestFit="1" customWidth="1"/>
    <col min="4" max="4" width="11.5546875" style="31" customWidth="1"/>
    <col min="5" max="5" width="13.109375" style="31" customWidth="1"/>
    <col min="6" max="6" width="11" style="31" customWidth="1"/>
    <col min="7" max="7" width="13.33203125" style="31" customWidth="1"/>
    <col min="8" max="8" width="10.44140625" style="31" customWidth="1"/>
    <col min="9" max="9" width="11.5546875" style="49" bestFit="1" customWidth="1"/>
    <col min="10" max="13" width="11.5546875" bestFit="1" customWidth="1"/>
    <col min="14" max="14" width="11.5546875" customWidth="1"/>
  </cols>
  <sheetData>
    <row r="1" spans="1:14" x14ac:dyDescent="0.3">
      <c r="A1" s="42" t="s">
        <v>179</v>
      </c>
      <c r="B1" s="39"/>
      <c r="C1" s="40"/>
      <c r="D1" s="40"/>
      <c r="E1" s="40"/>
      <c r="F1" s="40"/>
      <c r="G1" s="40"/>
      <c r="H1" s="40"/>
      <c r="I1" s="41"/>
    </row>
    <row r="2" spans="1:14" ht="16.2" x14ac:dyDescent="0.45">
      <c r="H2" s="32" t="s">
        <v>175</v>
      </c>
      <c r="I2" s="43">
        <f>SUM(I7:I106)</f>
        <v>12390000</v>
      </c>
      <c r="J2" s="15">
        <f t="shared" ref="J2:N2" si="0">SUM(J7:J106)</f>
        <v>12134000</v>
      </c>
      <c r="K2" s="15">
        <f t="shared" si="0"/>
        <v>12051990</v>
      </c>
      <c r="L2" s="15">
        <f t="shared" si="0"/>
        <v>10904619.310000001</v>
      </c>
      <c r="M2" s="15">
        <f t="shared" si="0"/>
        <v>10068899.646199996</v>
      </c>
      <c r="N2" s="16">
        <f t="shared" si="0"/>
        <v>57549508.956199996</v>
      </c>
    </row>
    <row r="4" spans="1:14" x14ac:dyDescent="0.3">
      <c r="A4"/>
      <c r="B4"/>
      <c r="C4"/>
      <c r="D4"/>
      <c r="E4"/>
      <c r="F4"/>
      <c r="G4"/>
      <c r="H4"/>
      <c r="I4"/>
    </row>
    <row r="5" spans="1:14" x14ac:dyDescent="0.3">
      <c r="A5" s="31" t="s">
        <v>188</v>
      </c>
      <c r="B5" s="31" t="s">
        <v>189</v>
      </c>
      <c r="C5" s="32" t="s">
        <v>190</v>
      </c>
      <c r="D5" s="32" t="s">
        <v>191</v>
      </c>
      <c r="E5" s="32" t="s">
        <v>192</v>
      </c>
      <c r="F5" s="32" t="s">
        <v>193</v>
      </c>
      <c r="G5" s="32" t="s">
        <v>194</v>
      </c>
      <c r="H5" s="33" t="s">
        <v>195</v>
      </c>
      <c r="I5" s="44" t="s">
        <v>202</v>
      </c>
      <c r="J5" s="4" t="s">
        <v>203</v>
      </c>
      <c r="K5" s="4" t="s">
        <v>204</v>
      </c>
      <c r="L5" s="4" t="s">
        <v>205</v>
      </c>
      <c r="M5" s="4" t="s">
        <v>206</v>
      </c>
      <c r="N5" s="4" t="s">
        <v>207</v>
      </c>
    </row>
    <row r="6" spans="1:14" ht="15" thickBot="1" x14ac:dyDescent="0.35">
      <c r="A6" s="32" t="s">
        <v>133</v>
      </c>
      <c r="B6" s="32" t="s">
        <v>100</v>
      </c>
      <c r="C6" s="32" t="s">
        <v>99</v>
      </c>
      <c r="D6" s="32" t="s">
        <v>197</v>
      </c>
      <c r="E6" s="32" t="s">
        <v>101</v>
      </c>
      <c r="F6" s="32" t="s">
        <v>102</v>
      </c>
      <c r="G6" s="32" t="s">
        <v>196</v>
      </c>
      <c r="H6" s="33" t="s">
        <v>198</v>
      </c>
      <c r="I6" s="45">
        <v>2017</v>
      </c>
      <c r="J6" s="6">
        <v>2018</v>
      </c>
      <c r="K6" s="6">
        <v>2019</v>
      </c>
      <c r="L6" s="6">
        <v>2020</v>
      </c>
      <c r="M6" s="6">
        <v>2021</v>
      </c>
      <c r="N6" s="53" t="s">
        <v>177</v>
      </c>
    </row>
    <row r="7" spans="1:14" x14ac:dyDescent="0.3">
      <c r="A7" s="34" t="s">
        <v>134</v>
      </c>
      <c r="B7" s="34" t="s">
        <v>130</v>
      </c>
      <c r="C7" s="34" t="s">
        <v>0</v>
      </c>
      <c r="D7" s="34" t="s">
        <v>158</v>
      </c>
      <c r="E7" s="34" t="s">
        <v>113</v>
      </c>
      <c r="F7" s="34" t="s">
        <v>103</v>
      </c>
      <c r="G7" s="34" t="s">
        <v>126</v>
      </c>
      <c r="H7" s="35">
        <v>42736</v>
      </c>
      <c r="I7" s="46">
        <v>10000</v>
      </c>
      <c r="J7" s="1">
        <v>10200</v>
      </c>
      <c r="K7" s="1">
        <v>10404</v>
      </c>
      <c r="L7" s="1">
        <v>10612.08</v>
      </c>
      <c r="M7" s="1">
        <v>10824.321599999999</v>
      </c>
      <c r="N7" s="7">
        <f>SUM(I7:M7)</f>
        <v>52040.401599999997</v>
      </c>
    </row>
    <row r="8" spans="1:14" x14ac:dyDescent="0.3">
      <c r="A8" s="31" t="s">
        <v>134</v>
      </c>
      <c r="B8" s="31" t="s">
        <v>132</v>
      </c>
      <c r="C8" s="31" t="s">
        <v>1</v>
      </c>
      <c r="D8" s="31" t="s">
        <v>158</v>
      </c>
      <c r="E8" s="31" t="s">
        <v>117</v>
      </c>
      <c r="F8" s="31" t="s">
        <v>111</v>
      </c>
      <c r="G8" s="31" t="s">
        <v>123</v>
      </c>
      <c r="H8" s="36">
        <v>42930</v>
      </c>
      <c r="I8" s="47">
        <v>230000</v>
      </c>
      <c r="J8" s="1">
        <v>236900</v>
      </c>
      <c r="K8" s="1">
        <v>244007</v>
      </c>
      <c r="L8" s="1">
        <v>251327.21000000002</v>
      </c>
      <c r="M8" s="1">
        <v>0</v>
      </c>
      <c r="N8" s="7">
        <f t="shared" ref="N8:N71" si="1">SUM(I8:M8)</f>
        <v>962234.21</v>
      </c>
    </row>
    <row r="9" spans="1:14" x14ac:dyDescent="0.3">
      <c r="A9" s="31" t="s">
        <v>147</v>
      </c>
      <c r="B9" s="31" t="s">
        <v>152</v>
      </c>
      <c r="C9" s="31" t="s">
        <v>2</v>
      </c>
      <c r="D9" s="31" t="s">
        <v>159</v>
      </c>
      <c r="E9" s="31" t="s">
        <v>116</v>
      </c>
      <c r="F9" s="31" t="s">
        <v>103</v>
      </c>
      <c r="G9" s="31" t="s">
        <v>125</v>
      </c>
      <c r="H9" s="36">
        <v>42811</v>
      </c>
      <c r="I9" s="47">
        <v>60000</v>
      </c>
      <c r="J9" s="1">
        <v>60000</v>
      </c>
      <c r="K9" s="1">
        <v>60000</v>
      </c>
      <c r="L9" s="1">
        <v>60000</v>
      </c>
      <c r="M9" s="1">
        <v>60000</v>
      </c>
      <c r="N9" s="7">
        <f t="shared" si="1"/>
        <v>300000</v>
      </c>
    </row>
    <row r="10" spans="1:14" x14ac:dyDescent="0.3">
      <c r="A10" s="31" t="s">
        <v>147</v>
      </c>
      <c r="B10" s="31" t="s">
        <v>149</v>
      </c>
      <c r="C10" s="31" t="s">
        <v>3</v>
      </c>
      <c r="D10" s="31" t="s">
        <v>159</v>
      </c>
      <c r="E10" s="31" t="s">
        <v>120</v>
      </c>
      <c r="F10" s="31" t="s">
        <v>107</v>
      </c>
      <c r="G10" s="31" t="s">
        <v>125</v>
      </c>
      <c r="H10" s="36">
        <v>42833</v>
      </c>
      <c r="I10" s="47">
        <v>210000</v>
      </c>
      <c r="J10" s="1">
        <v>210000</v>
      </c>
      <c r="K10" s="1">
        <v>210000</v>
      </c>
      <c r="L10" s="1">
        <v>210000</v>
      </c>
      <c r="M10" s="1">
        <v>210000</v>
      </c>
      <c r="N10" s="7">
        <f t="shared" si="1"/>
        <v>1050000</v>
      </c>
    </row>
    <row r="11" spans="1:14" x14ac:dyDescent="0.3">
      <c r="A11" s="31" t="s">
        <v>134</v>
      </c>
      <c r="B11" s="31" t="s">
        <v>137</v>
      </c>
      <c r="C11" s="31" t="s">
        <v>4</v>
      </c>
      <c r="D11" s="31" t="s">
        <v>158</v>
      </c>
      <c r="E11" s="31" t="s">
        <v>115</v>
      </c>
      <c r="F11" s="31" t="s">
        <v>112</v>
      </c>
      <c r="G11" s="31" t="s">
        <v>123</v>
      </c>
      <c r="H11" s="36">
        <v>42831</v>
      </c>
      <c r="I11" s="47">
        <v>130000</v>
      </c>
      <c r="J11" s="1">
        <v>0</v>
      </c>
      <c r="K11" s="1">
        <v>0</v>
      </c>
      <c r="L11" s="1">
        <v>0</v>
      </c>
      <c r="M11" s="1">
        <v>0</v>
      </c>
      <c r="N11" s="7">
        <f>SUM(I11:M11)</f>
        <v>130000</v>
      </c>
    </row>
    <row r="12" spans="1:14" x14ac:dyDescent="0.3">
      <c r="A12" s="31" t="s">
        <v>138</v>
      </c>
      <c r="B12" s="31" t="s">
        <v>142</v>
      </c>
      <c r="C12" s="31" t="s">
        <v>5</v>
      </c>
      <c r="D12" s="31" t="s">
        <v>158</v>
      </c>
      <c r="E12" s="31" t="s">
        <v>116</v>
      </c>
      <c r="F12" s="31" t="s">
        <v>104</v>
      </c>
      <c r="G12" s="31" t="s">
        <v>128</v>
      </c>
      <c r="H12" s="36">
        <v>42830</v>
      </c>
      <c r="I12" s="47">
        <v>240000</v>
      </c>
      <c r="J12" s="1">
        <v>240000</v>
      </c>
      <c r="K12" s="1">
        <v>240000</v>
      </c>
      <c r="L12" s="1">
        <v>240000</v>
      </c>
      <c r="M12" s="1">
        <v>240000</v>
      </c>
      <c r="N12" s="7">
        <f t="shared" si="1"/>
        <v>1200000</v>
      </c>
    </row>
    <row r="13" spans="1:14" x14ac:dyDescent="0.3">
      <c r="A13" s="31" t="s">
        <v>138</v>
      </c>
      <c r="B13" s="31" t="s">
        <v>140</v>
      </c>
      <c r="C13" s="31" t="s">
        <v>6</v>
      </c>
      <c r="D13" s="31" t="s">
        <v>159</v>
      </c>
      <c r="E13" s="31" t="s">
        <v>118</v>
      </c>
      <c r="F13" s="31" t="s">
        <v>111</v>
      </c>
      <c r="G13" s="31" t="s">
        <v>124</v>
      </c>
      <c r="H13" s="36">
        <v>42768</v>
      </c>
      <c r="I13" s="47">
        <v>130000</v>
      </c>
      <c r="J13" s="1">
        <v>133900</v>
      </c>
      <c r="K13" s="1">
        <v>137917</v>
      </c>
      <c r="L13" s="1">
        <v>142054.51</v>
      </c>
      <c r="M13" s="1">
        <v>146316.1453</v>
      </c>
      <c r="N13" s="7">
        <f>SUM(I13:M13)</f>
        <v>690187.65529999998</v>
      </c>
    </row>
    <row r="14" spans="1:14" x14ac:dyDescent="0.3">
      <c r="A14" s="31" t="s">
        <v>134</v>
      </c>
      <c r="B14" s="31" t="s">
        <v>132</v>
      </c>
      <c r="C14" s="31" t="s">
        <v>7</v>
      </c>
      <c r="D14" s="31" t="s">
        <v>159</v>
      </c>
      <c r="E14" s="31" t="s">
        <v>118</v>
      </c>
      <c r="F14" s="31" t="s">
        <v>109</v>
      </c>
      <c r="G14" s="31" t="s">
        <v>127</v>
      </c>
      <c r="H14" s="36">
        <v>42763</v>
      </c>
      <c r="I14" s="47">
        <v>180000</v>
      </c>
      <c r="J14" s="1">
        <v>180000</v>
      </c>
      <c r="K14" s="1">
        <v>180000</v>
      </c>
      <c r="L14" s="1">
        <v>0</v>
      </c>
      <c r="M14" s="1">
        <v>0</v>
      </c>
      <c r="N14" s="7">
        <f t="shared" si="1"/>
        <v>540000</v>
      </c>
    </row>
    <row r="15" spans="1:14" x14ac:dyDescent="0.3">
      <c r="A15" s="31" t="s">
        <v>134</v>
      </c>
      <c r="B15" s="31" t="s">
        <v>137</v>
      </c>
      <c r="C15" s="31" t="s">
        <v>8</v>
      </c>
      <c r="D15" s="31" t="s">
        <v>158</v>
      </c>
      <c r="E15" s="31" t="s">
        <v>116</v>
      </c>
      <c r="F15" s="31" t="s">
        <v>107</v>
      </c>
      <c r="G15" s="31" t="s">
        <v>126</v>
      </c>
      <c r="H15" s="36">
        <v>42810</v>
      </c>
      <c r="I15" s="47">
        <v>130000</v>
      </c>
      <c r="J15" s="1">
        <v>133900</v>
      </c>
      <c r="K15" s="1">
        <v>137917</v>
      </c>
      <c r="L15" s="1">
        <v>142054.51</v>
      </c>
      <c r="M15" s="1">
        <v>146316.1453</v>
      </c>
      <c r="N15" s="7">
        <f t="shared" si="1"/>
        <v>690187.65529999998</v>
      </c>
    </row>
    <row r="16" spans="1:14" x14ac:dyDescent="0.3">
      <c r="A16" s="31" t="s">
        <v>138</v>
      </c>
      <c r="B16" s="31" t="s">
        <v>145</v>
      </c>
      <c r="C16" s="31" t="s">
        <v>9</v>
      </c>
      <c r="D16" s="31" t="s">
        <v>159</v>
      </c>
      <c r="E16" s="31" t="s">
        <v>116</v>
      </c>
      <c r="F16" s="31" t="s">
        <v>110</v>
      </c>
      <c r="G16" s="31" t="s">
        <v>120</v>
      </c>
      <c r="H16" s="36">
        <v>42771</v>
      </c>
      <c r="I16" s="47">
        <v>20000</v>
      </c>
      <c r="J16" s="1">
        <v>20200</v>
      </c>
      <c r="K16" s="1">
        <v>20402</v>
      </c>
      <c r="L16" s="1">
        <v>20606.02</v>
      </c>
      <c r="M16" s="1">
        <v>20812.0802</v>
      </c>
      <c r="N16" s="7">
        <f t="shared" si="1"/>
        <v>102020.1002</v>
      </c>
    </row>
    <row r="17" spans="1:14" x14ac:dyDescent="0.3">
      <c r="A17" s="31" t="s">
        <v>134</v>
      </c>
      <c r="B17" s="31" t="s">
        <v>136</v>
      </c>
      <c r="C17" s="31" t="s">
        <v>10</v>
      </c>
      <c r="D17" s="31" t="s">
        <v>160</v>
      </c>
      <c r="E17" s="31" t="s">
        <v>117</v>
      </c>
      <c r="F17" s="31" t="s">
        <v>110</v>
      </c>
      <c r="G17" s="31" t="s">
        <v>127</v>
      </c>
      <c r="H17" s="36">
        <v>42781</v>
      </c>
      <c r="I17" s="47">
        <v>170000</v>
      </c>
      <c r="J17" s="1">
        <v>170000</v>
      </c>
      <c r="K17" s="1">
        <v>170000</v>
      </c>
      <c r="L17" s="1">
        <v>170000</v>
      </c>
      <c r="M17" s="1">
        <v>170000</v>
      </c>
      <c r="N17" s="7">
        <f t="shared" si="1"/>
        <v>850000</v>
      </c>
    </row>
    <row r="18" spans="1:14" x14ac:dyDescent="0.3">
      <c r="A18" s="31" t="s">
        <v>147</v>
      </c>
      <c r="B18" s="31" t="s">
        <v>152</v>
      </c>
      <c r="C18" s="31" t="s">
        <v>11</v>
      </c>
      <c r="D18" s="31" t="s">
        <v>159</v>
      </c>
      <c r="E18" s="31" t="s">
        <v>118</v>
      </c>
      <c r="F18" s="31" t="s">
        <v>110</v>
      </c>
      <c r="G18" s="31" t="s">
        <v>127</v>
      </c>
      <c r="H18" s="36">
        <v>42767</v>
      </c>
      <c r="I18" s="47">
        <v>110000</v>
      </c>
      <c r="J18" s="1">
        <v>112200</v>
      </c>
      <c r="K18" s="1">
        <v>114444</v>
      </c>
      <c r="L18" s="1">
        <v>116732.88</v>
      </c>
      <c r="M18" s="1">
        <v>119067.53760000001</v>
      </c>
      <c r="N18" s="7">
        <f t="shared" si="1"/>
        <v>572444.41760000004</v>
      </c>
    </row>
    <row r="19" spans="1:14" x14ac:dyDescent="0.3">
      <c r="A19" s="31" t="s">
        <v>138</v>
      </c>
      <c r="B19" s="31" t="s">
        <v>145</v>
      </c>
      <c r="C19" s="31" t="s">
        <v>12</v>
      </c>
      <c r="D19" s="31" t="s">
        <v>160</v>
      </c>
      <c r="E19" s="31" t="s">
        <v>115</v>
      </c>
      <c r="F19" s="31" t="s">
        <v>107</v>
      </c>
      <c r="G19" s="31" t="s">
        <v>124</v>
      </c>
      <c r="H19" s="36">
        <v>42803</v>
      </c>
      <c r="I19" s="47">
        <v>120000</v>
      </c>
      <c r="J19" s="1">
        <v>120000</v>
      </c>
      <c r="K19" s="1">
        <v>120000</v>
      </c>
      <c r="L19" s="1">
        <v>120000</v>
      </c>
      <c r="M19" s="1">
        <v>120000</v>
      </c>
      <c r="N19" s="7">
        <f t="shared" si="1"/>
        <v>600000</v>
      </c>
    </row>
    <row r="20" spans="1:14" x14ac:dyDescent="0.3">
      <c r="A20" s="31" t="s">
        <v>134</v>
      </c>
      <c r="B20" s="31" t="s">
        <v>136</v>
      </c>
      <c r="C20" s="31" t="s">
        <v>13</v>
      </c>
      <c r="D20" s="31" t="s">
        <v>160</v>
      </c>
      <c r="E20" s="31" t="s">
        <v>116</v>
      </c>
      <c r="F20" s="31" t="s">
        <v>112</v>
      </c>
      <c r="G20" s="31" t="s">
        <v>128</v>
      </c>
      <c r="H20" s="36">
        <v>42755</v>
      </c>
      <c r="I20" s="47">
        <v>250000</v>
      </c>
      <c r="J20" s="1">
        <v>255000</v>
      </c>
      <c r="K20" s="1">
        <v>0</v>
      </c>
      <c r="L20" s="1">
        <v>0</v>
      </c>
      <c r="M20" s="1">
        <v>0</v>
      </c>
      <c r="N20" s="7">
        <f t="shared" si="1"/>
        <v>505000</v>
      </c>
    </row>
    <row r="21" spans="1:14" x14ac:dyDescent="0.3">
      <c r="A21" s="31" t="s">
        <v>138</v>
      </c>
      <c r="B21" s="31" t="s">
        <v>139</v>
      </c>
      <c r="C21" s="31" t="s">
        <v>14</v>
      </c>
      <c r="D21" s="31" t="s">
        <v>158</v>
      </c>
      <c r="E21" s="31" t="s">
        <v>117</v>
      </c>
      <c r="F21" s="31" t="s">
        <v>110</v>
      </c>
      <c r="G21" s="31" t="s">
        <v>127</v>
      </c>
      <c r="H21" s="36">
        <v>42914</v>
      </c>
      <c r="I21" s="47">
        <v>120000</v>
      </c>
      <c r="J21" s="1">
        <v>122400</v>
      </c>
      <c r="K21" s="1">
        <v>124848</v>
      </c>
      <c r="L21" s="1">
        <v>127344.96000000001</v>
      </c>
      <c r="M21" s="1">
        <v>129891.85920000001</v>
      </c>
      <c r="N21" s="7">
        <f t="shared" si="1"/>
        <v>624484.81920000003</v>
      </c>
    </row>
    <row r="22" spans="1:14" x14ac:dyDescent="0.3">
      <c r="A22" s="31" t="s">
        <v>134</v>
      </c>
      <c r="B22" s="31" t="s">
        <v>132</v>
      </c>
      <c r="C22" s="31" t="s">
        <v>15</v>
      </c>
      <c r="D22" s="31" t="s">
        <v>160</v>
      </c>
      <c r="E22" s="31" t="s">
        <v>115</v>
      </c>
      <c r="F22" s="31" t="s">
        <v>107</v>
      </c>
      <c r="G22" s="31" t="s">
        <v>125</v>
      </c>
      <c r="H22" s="36">
        <v>42898</v>
      </c>
      <c r="I22" s="47">
        <v>70000</v>
      </c>
      <c r="J22" s="1">
        <v>71400</v>
      </c>
      <c r="K22" s="1">
        <v>72828</v>
      </c>
      <c r="L22" s="1">
        <v>74284.56</v>
      </c>
      <c r="M22" s="1">
        <v>75770.251199999999</v>
      </c>
      <c r="N22" s="7">
        <f t="shared" si="1"/>
        <v>364282.8112</v>
      </c>
    </row>
    <row r="23" spans="1:14" x14ac:dyDescent="0.3">
      <c r="A23" s="31" t="s">
        <v>134</v>
      </c>
      <c r="B23" s="31" t="s">
        <v>129</v>
      </c>
      <c r="C23" s="31" t="s">
        <v>16</v>
      </c>
      <c r="D23" s="31" t="s">
        <v>160</v>
      </c>
      <c r="E23" s="31" t="s">
        <v>121</v>
      </c>
      <c r="F23" s="31" t="s">
        <v>109</v>
      </c>
      <c r="G23" s="31" t="s">
        <v>124</v>
      </c>
      <c r="H23" s="36">
        <v>42739</v>
      </c>
      <c r="I23" s="47">
        <v>230000</v>
      </c>
      <c r="J23" s="1">
        <v>234600</v>
      </c>
      <c r="K23" s="1">
        <v>239292</v>
      </c>
      <c r="L23" s="1">
        <v>244077.84</v>
      </c>
      <c r="M23" s="1">
        <v>248959.39679999999</v>
      </c>
      <c r="N23" s="7">
        <f t="shared" si="1"/>
        <v>1196929.2368000001</v>
      </c>
    </row>
    <row r="24" spans="1:14" x14ac:dyDescent="0.3">
      <c r="A24" s="31" t="s">
        <v>147</v>
      </c>
      <c r="B24" s="31" t="s">
        <v>151</v>
      </c>
      <c r="C24" s="31" t="s">
        <v>17</v>
      </c>
      <c r="D24" s="31" t="s">
        <v>158</v>
      </c>
      <c r="E24" s="31" t="s">
        <v>118</v>
      </c>
      <c r="F24" s="31" t="s">
        <v>112</v>
      </c>
      <c r="G24" s="31" t="s">
        <v>120</v>
      </c>
      <c r="H24" s="36">
        <v>42876</v>
      </c>
      <c r="I24" s="47">
        <v>110000</v>
      </c>
      <c r="J24" s="1">
        <v>113300</v>
      </c>
      <c r="K24" s="1">
        <v>116699</v>
      </c>
      <c r="L24" s="1">
        <v>120199.97</v>
      </c>
      <c r="M24" s="1">
        <v>123805.9691</v>
      </c>
      <c r="N24" s="7">
        <f t="shared" si="1"/>
        <v>584004.93909999996</v>
      </c>
    </row>
    <row r="25" spans="1:14" x14ac:dyDescent="0.3">
      <c r="A25" s="31" t="s">
        <v>147</v>
      </c>
      <c r="B25" s="31" t="s">
        <v>149</v>
      </c>
      <c r="C25" s="31" t="s">
        <v>18</v>
      </c>
      <c r="D25" s="31" t="s">
        <v>160</v>
      </c>
      <c r="E25" s="31" t="s">
        <v>117</v>
      </c>
      <c r="F25" s="31" t="s">
        <v>111</v>
      </c>
      <c r="G25" s="31" t="s">
        <v>128</v>
      </c>
      <c r="H25" s="36">
        <v>42879</v>
      </c>
      <c r="I25" s="47">
        <v>150000</v>
      </c>
      <c r="J25" s="1">
        <v>154500</v>
      </c>
      <c r="K25" s="1">
        <v>159135</v>
      </c>
      <c r="L25" s="1">
        <v>163909.05000000002</v>
      </c>
      <c r="M25" s="1">
        <v>168826.32150000002</v>
      </c>
      <c r="N25" s="7">
        <f t="shared" si="1"/>
        <v>796370.37150000012</v>
      </c>
    </row>
    <row r="26" spans="1:14" x14ac:dyDescent="0.3">
      <c r="A26" s="31" t="s">
        <v>134</v>
      </c>
      <c r="B26" s="31" t="s">
        <v>129</v>
      </c>
      <c r="C26" s="31" t="s">
        <v>19</v>
      </c>
      <c r="D26" s="31" t="s">
        <v>158</v>
      </c>
      <c r="E26" s="31" t="s">
        <v>122</v>
      </c>
      <c r="F26" s="31" t="s">
        <v>106</v>
      </c>
      <c r="G26" s="31" t="s">
        <v>127</v>
      </c>
      <c r="H26" s="36">
        <v>42907</v>
      </c>
      <c r="I26" s="47">
        <v>240000</v>
      </c>
      <c r="J26" s="1">
        <v>247200</v>
      </c>
      <c r="K26" s="1">
        <v>254616</v>
      </c>
      <c r="L26" s="1">
        <v>262254.48</v>
      </c>
      <c r="M26" s="1">
        <v>0</v>
      </c>
      <c r="N26" s="7">
        <f t="shared" si="1"/>
        <v>1004070.48</v>
      </c>
    </row>
    <row r="27" spans="1:14" x14ac:dyDescent="0.3">
      <c r="A27" s="31" t="s">
        <v>134</v>
      </c>
      <c r="B27" s="31" t="s">
        <v>135</v>
      </c>
      <c r="C27" s="31" t="s">
        <v>20</v>
      </c>
      <c r="D27" s="31" t="s">
        <v>158</v>
      </c>
      <c r="E27" s="31" t="s">
        <v>113</v>
      </c>
      <c r="F27" s="31" t="s">
        <v>104</v>
      </c>
      <c r="G27" s="31" t="s">
        <v>120</v>
      </c>
      <c r="H27" s="36">
        <v>42846</v>
      </c>
      <c r="I27" s="47">
        <v>50000</v>
      </c>
      <c r="J27" s="1">
        <v>51500</v>
      </c>
      <c r="K27" s="1">
        <v>53045</v>
      </c>
      <c r="L27" s="1">
        <v>54636.35</v>
      </c>
      <c r="M27" s="1">
        <v>56275.440499999997</v>
      </c>
      <c r="N27" s="7">
        <f t="shared" si="1"/>
        <v>265456.7905</v>
      </c>
    </row>
    <row r="28" spans="1:14" x14ac:dyDescent="0.3">
      <c r="A28" s="31" t="s">
        <v>138</v>
      </c>
      <c r="B28" s="31" t="s">
        <v>142</v>
      </c>
      <c r="C28" s="31" t="s">
        <v>21</v>
      </c>
      <c r="D28" s="31" t="s">
        <v>158</v>
      </c>
      <c r="E28" s="31" t="s">
        <v>113</v>
      </c>
      <c r="F28" s="31" t="s">
        <v>111</v>
      </c>
      <c r="G28" s="31" t="s">
        <v>128</v>
      </c>
      <c r="H28" s="36">
        <v>42743</v>
      </c>
      <c r="I28" s="47">
        <v>120000</v>
      </c>
      <c r="J28" s="1">
        <v>120000</v>
      </c>
      <c r="K28" s="1">
        <v>120000</v>
      </c>
      <c r="L28" s="1">
        <v>120000</v>
      </c>
      <c r="M28" s="1">
        <v>120000</v>
      </c>
      <c r="N28" s="7">
        <f t="shared" si="1"/>
        <v>600000</v>
      </c>
    </row>
    <row r="29" spans="1:14" x14ac:dyDescent="0.3">
      <c r="A29" s="31" t="s">
        <v>134</v>
      </c>
      <c r="B29" s="31" t="s">
        <v>137</v>
      </c>
      <c r="C29" s="31" t="s">
        <v>22</v>
      </c>
      <c r="D29" s="31" t="s">
        <v>158</v>
      </c>
      <c r="E29" s="31" t="s">
        <v>119</v>
      </c>
      <c r="F29" s="31" t="s">
        <v>104</v>
      </c>
      <c r="G29" s="31" t="s">
        <v>120</v>
      </c>
      <c r="H29" s="36">
        <v>42766</v>
      </c>
      <c r="I29" s="47">
        <v>70000</v>
      </c>
      <c r="J29" s="1">
        <v>71400</v>
      </c>
      <c r="K29" s="1">
        <v>72828</v>
      </c>
      <c r="L29" s="1">
        <v>74284.56</v>
      </c>
      <c r="M29" s="1">
        <v>75770.251199999999</v>
      </c>
      <c r="N29" s="7">
        <f t="shared" si="1"/>
        <v>364282.8112</v>
      </c>
    </row>
    <row r="30" spans="1:14" x14ac:dyDescent="0.3">
      <c r="A30" s="31" t="s">
        <v>138</v>
      </c>
      <c r="B30" s="31" t="s">
        <v>139</v>
      </c>
      <c r="C30" s="31" t="s">
        <v>23</v>
      </c>
      <c r="D30" s="31" t="s">
        <v>160</v>
      </c>
      <c r="E30" s="31" t="s">
        <v>118</v>
      </c>
      <c r="F30" s="31" t="s">
        <v>111</v>
      </c>
      <c r="G30" s="31" t="s">
        <v>126</v>
      </c>
      <c r="H30" s="36">
        <v>42737</v>
      </c>
      <c r="I30" s="47">
        <v>240000</v>
      </c>
      <c r="J30" s="1">
        <v>242400</v>
      </c>
      <c r="K30" s="1">
        <v>244824</v>
      </c>
      <c r="L30" s="1">
        <v>247272.24</v>
      </c>
      <c r="M30" s="1">
        <v>249744.96239999999</v>
      </c>
      <c r="N30" s="7">
        <f t="shared" si="1"/>
        <v>1224241.2024000001</v>
      </c>
    </row>
    <row r="31" spans="1:14" x14ac:dyDescent="0.3">
      <c r="A31" s="31" t="s">
        <v>147</v>
      </c>
      <c r="B31" s="31" t="s">
        <v>151</v>
      </c>
      <c r="C31" s="31" t="s">
        <v>24</v>
      </c>
      <c r="D31" s="31" t="s">
        <v>160</v>
      </c>
      <c r="E31" s="31" t="s">
        <v>117</v>
      </c>
      <c r="F31" s="31" t="s">
        <v>105</v>
      </c>
      <c r="G31" s="31" t="s">
        <v>127</v>
      </c>
      <c r="H31" s="36">
        <v>42863</v>
      </c>
      <c r="I31" s="47">
        <v>20000</v>
      </c>
      <c r="J31" s="1">
        <v>20400</v>
      </c>
      <c r="K31" s="1">
        <v>20808</v>
      </c>
      <c r="L31" s="1">
        <v>21224.16</v>
      </c>
      <c r="M31" s="1">
        <v>21648.643199999999</v>
      </c>
      <c r="N31" s="7">
        <f t="shared" si="1"/>
        <v>104080.80319999999</v>
      </c>
    </row>
    <row r="32" spans="1:14" x14ac:dyDescent="0.3">
      <c r="A32" s="31" t="s">
        <v>138</v>
      </c>
      <c r="B32" s="31" t="s">
        <v>143</v>
      </c>
      <c r="C32" s="31" t="s">
        <v>25</v>
      </c>
      <c r="D32" s="31" t="s">
        <v>160</v>
      </c>
      <c r="E32" s="31" t="s">
        <v>118</v>
      </c>
      <c r="F32" s="31" t="s">
        <v>110</v>
      </c>
      <c r="G32" s="31" t="s">
        <v>126</v>
      </c>
      <c r="H32" s="36">
        <v>42827</v>
      </c>
      <c r="I32" s="47">
        <v>90000</v>
      </c>
      <c r="J32" s="1">
        <v>90000</v>
      </c>
      <c r="K32" s="1">
        <v>90000</v>
      </c>
      <c r="L32" s="1">
        <v>90000</v>
      </c>
      <c r="M32" s="1">
        <v>90000</v>
      </c>
      <c r="N32" s="7">
        <f t="shared" si="1"/>
        <v>450000</v>
      </c>
    </row>
    <row r="33" spans="1:14" x14ac:dyDescent="0.3">
      <c r="A33" s="31" t="s">
        <v>138</v>
      </c>
      <c r="B33" s="31" t="s">
        <v>142</v>
      </c>
      <c r="C33" s="31" t="s">
        <v>26</v>
      </c>
      <c r="D33" s="31" t="s">
        <v>160</v>
      </c>
      <c r="E33" s="31" t="s">
        <v>120</v>
      </c>
      <c r="F33" s="31" t="s">
        <v>109</v>
      </c>
      <c r="G33" s="31" t="s">
        <v>125</v>
      </c>
      <c r="H33" s="36">
        <v>42847</v>
      </c>
      <c r="I33" s="47">
        <v>200000</v>
      </c>
      <c r="J33" s="1">
        <v>206000</v>
      </c>
      <c r="K33" s="1">
        <v>212180</v>
      </c>
      <c r="L33" s="1">
        <v>0</v>
      </c>
      <c r="M33" s="1">
        <v>0</v>
      </c>
      <c r="N33" s="7">
        <f t="shared" si="1"/>
        <v>618180</v>
      </c>
    </row>
    <row r="34" spans="1:14" x14ac:dyDescent="0.3">
      <c r="A34" s="31" t="s">
        <v>138</v>
      </c>
      <c r="B34" s="31" t="s">
        <v>139</v>
      </c>
      <c r="C34" s="31" t="s">
        <v>27</v>
      </c>
      <c r="D34" s="31" t="s">
        <v>160</v>
      </c>
      <c r="E34" s="31" t="s">
        <v>115</v>
      </c>
      <c r="F34" s="31" t="s">
        <v>109</v>
      </c>
      <c r="G34" s="31" t="s">
        <v>123</v>
      </c>
      <c r="H34" s="36">
        <v>42788</v>
      </c>
      <c r="I34" s="47">
        <v>210000</v>
      </c>
      <c r="J34" s="1">
        <v>212100</v>
      </c>
      <c r="K34" s="1">
        <v>214221</v>
      </c>
      <c r="L34" s="1">
        <v>216363.21</v>
      </c>
      <c r="M34" s="1">
        <v>218526.84209999998</v>
      </c>
      <c r="N34" s="7">
        <f t="shared" si="1"/>
        <v>1071211.0521</v>
      </c>
    </row>
    <row r="35" spans="1:14" x14ac:dyDescent="0.3">
      <c r="A35" s="31" t="s">
        <v>138</v>
      </c>
      <c r="B35" s="31" t="s">
        <v>140</v>
      </c>
      <c r="C35" s="31" t="s">
        <v>28</v>
      </c>
      <c r="D35" s="31" t="s">
        <v>160</v>
      </c>
      <c r="E35" s="31" t="s">
        <v>114</v>
      </c>
      <c r="F35" s="31" t="s">
        <v>111</v>
      </c>
      <c r="G35" s="31" t="s">
        <v>124</v>
      </c>
      <c r="H35" s="36">
        <v>42879</v>
      </c>
      <c r="I35" s="47">
        <v>110000</v>
      </c>
      <c r="J35" s="1">
        <v>112200</v>
      </c>
      <c r="K35" s="1">
        <v>114444</v>
      </c>
      <c r="L35" s="1">
        <v>116732.88</v>
      </c>
      <c r="M35" s="1">
        <v>119067.53760000001</v>
      </c>
      <c r="N35" s="7">
        <f t="shared" si="1"/>
        <v>572444.41760000004</v>
      </c>
    </row>
    <row r="36" spans="1:14" x14ac:dyDescent="0.3">
      <c r="A36" s="31" t="s">
        <v>147</v>
      </c>
      <c r="B36" s="31" t="s">
        <v>148</v>
      </c>
      <c r="C36" s="31" t="s">
        <v>29</v>
      </c>
      <c r="D36" s="31" t="s">
        <v>159</v>
      </c>
      <c r="E36" s="31" t="s">
        <v>117</v>
      </c>
      <c r="F36" s="31" t="s">
        <v>108</v>
      </c>
      <c r="G36" s="31" t="s">
        <v>125</v>
      </c>
      <c r="H36" s="36">
        <v>42802</v>
      </c>
      <c r="I36" s="47">
        <v>30000</v>
      </c>
      <c r="J36" s="1">
        <v>30900</v>
      </c>
      <c r="K36" s="1">
        <v>31827</v>
      </c>
      <c r="L36" s="1">
        <v>32781.81</v>
      </c>
      <c r="M36" s="1">
        <v>33765.264299999995</v>
      </c>
      <c r="N36" s="7">
        <f t="shared" si="1"/>
        <v>159274.07429999998</v>
      </c>
    </row>
    <row r="37" spans="1:14" x14ac:dyDescent="0.3">
      <c r="A37" s="31" t="s">
        <v>147</v>
      </c>
      <c r="B37" s="31" t="s">
        <v>151</v>
      </c>
      <c r="C37" s="31" t="s">
        <v>30</v>
      </c>
      <c r="D37" s="31" t="s">
        <v>158</v>
      </c>
      <c r="E37" s="31" t="s">
        <v>121</v>
      </c>
      <c r="F37" s="31" t="s">
        <v>111</v>
      </c>
      <c r="G37" s="31" t="s">
        <v>123</v>
      </c>
      <c r="H37" s="36">
        <v>42851</v>
      </c>
      <c r="I37" s="47">
        <v>20000</v>
      </c>
      <c r="J37" s="1">
        <v>20200</v>
      </c>
      <c r="K37" s="1">
        <v>20402</v>
      </c>
      <c r="L37" s="1">
        <v>20606.02</v>
      </c>
      <c r="M37" s="1">
        <v>20812.0802</v>
      </c>
      <c r="N37" s="7">
        <f t="shared" si="1"/>
        <v>102020.1002</v>
      </c>
    </row>
    <row r="38" spans="1:14" x14ac:dyDescent="0.3">
      <c r="A38" s="31" t="s">
        <v>134</v>
      </c>
      <c r="B38" s="31" t="s">
        <v>129</v>
      </c>
      <c r="C38" s="31" t="s">
        <v>31</v>
      </c>
      <c r="D38" s="31" t="s">
        <v>158</v>
      </c>
      <c r="E38" s="31" t="s">
        <v>119</v>
      </c>
      <c r="F38" s="31" t="s">
        <v>104</v>
      </c>
      <c r="G38" s="31" t="s">
        <v>126</v>
      </c>
      <c r="H38" s="36">
        <v>42855</v>
      </c>
      <c r="I38" s="47">
        <v>120000</v>
      </c>
      <c r="J38" s="1">
        <v>121200</v>
      </c>
      <c r="K38" s="1">
        <v>122412</v>
      </c>
      <c r="L38" s="1">
        <v>123636.12</v>
      </c>
      <c r="M38" s="1">
        <v>124872.48119999999</v>
      </c>
      <c r="N38" s="7">
        <f t="shared" si="1"/>
        <v>612120.60120000003</v>
      </c>
    </row>
    <row r="39" spans="1:14" x14ac:dyDescent="0.3">
      <c r="A39" s="31" t="s">
        <v>134</v>
      </c>
      <c r="B39" s="31" t="s">
        <v>129</v>
      </c>
      <c r="C39" s="31" t="s">
        <v>32</v>
      </c>
      <c r="D39" s="31" t="s">
        <v>158</v>
      </c>
      <c r="E39" s="31" t="s">
        <v>120</v>
      </c>
      <c r="F39" s="31" t="s">
        <v>107</v>
      </c>
      <c r="G39" s="31" t="s">
        <v>123</v>
      </c>
      <c r="H39" s="36">
        <v>42751</v>
      </c>
      <c r="I39" s="47">
        <v>150000</v>
      </c>
      <c r="J39" s="1">
        <v>0</v>
      </c>
      <c r="K39" s="1">
        <v>0</v>
      </c>
      <c r="L39" s="1">
        <v>0</v>
      </c>
      <c r="M39" s="1">
        <v>0</v>
      </c>
      <c r="N39" s="7">
        <f t="shared" si="1"/>
        <v>150000</v>
      </c>
    </row>
    <row r="40" spans="1:14" x14ac:dyDescent="0.3">
      <c r="A40" s="31" t="s">
        <v>147</v>
      </c>
      <c r="B40" s="31" t="s">
        <v>148</v>
      </c>
      <c r="C40" s="31" t="s">
        <v>33</v>
      </c>
      <c r="D40" s="31" t="s">
        <v>158</v>
      </c>
      <c r="E40" s="31" t="s">
        <v>117</v>
      </c>
      <c r="F40" s="31" t="s">
        <v>110</v>
      </c>
      <c r="G40" s="31" t="s">
        <v>123</v>
      </c>
      <c r="H40" s="36">
        <v>42781</v>
      </c>
      <c r="I40" s="47">
        <v>180000</v>
      </c>
      <c r="J40" s="1">
        <v>185400</v>
      </c>
      <c r="K40" s="1">
        <v>190962</v>
      </c>
      <c r="L40" s="1">
        <v>196690.86000000002</v>
      </c>
      <c r="M40" s="1">
        <v>202591.58580000003</v>
      </c>
      <c r="N40" s="7">
        <f t="shared" si="1"/>
        <v>955644.44579999999</v>
      </c>
    </row>
    <row r="41" spans="1:14" x14ac:dyDescent="0.3">
      <c r="A41" s="31" t="s">
        <v>134</v>
      </c>
      <c r="B41" s="31" t="s">
        <v>137</v>
      </c>
      <c r="C41" s="31" t="s">
        <v>34</v>
      </c>
      <c r="D41" s="31" t="s">
        <v>160</v>
      </c>
      <c r="E41" s="31" t="s">
        <v>121</v>
      </c>
      <c r="F41" s="31" t="s">
        <v>112</v>
      </c>
      <c r="G41" s="31" t="s">
        <v>125</v>
      </c>
      <c r="H41" s="36">
        <v>42926</v>
      </c>
      <c r="I41" s="47">
        <v>180000</v>
      </c>
      <c r="J41" s="1">
        <v>185400</v>
      </c>
      <c r="K41" s="1">
        <v>190962</v>
      </c>
      <c r="L41" s="1">
        <v>196690.86000000002</v>
      </c>
      <c r="M41" s="1">
        <v>202591.58580000003</v>
      </c>
      <c r="N41" s="7">
        <f t="shared" si="1"/>
        <v>955644.44579999999</v>
      </c>
    </row>
    <row r="42" spans="1:14" x14ac:dyDescent="0.3">
      <c r="A42" s="31" t="s">
        <v>138</v>
      </c>
      <c r="B42" s="31" t="s">
        <v>145</v>
      </c>
      <c r="C42" s="31" t="s">
        <v>35</v>
      </c>
      <c r="D42" s="31" t="s">
        <v>160</v>
      </c>
      <c r="E42" s="31" t="s">
        <v>114</v>
      </c>
      <c r="F42" s="31" t="s">
        <v>109</v>
      </c>
      <c r="G42" s="31" t="s">
        <v>125</v>
      </c>
      <c r="H42" s="36">
        <v>42757</v>
      </c>
      <c r="I42" s="47">
        <v>150000</v>
      </c>
      <c r="J42" s="1">
        <v>150000</v>
      </c>
      <c r="K42" s="1">
        <v>150000</v>
      </c>
      <c r="L42" s="1">
        <v>150000</v>
      </c>
      <c r="M42" s="1">
        <v>150000</v>
      </c>
      <c r="N42" s="7">
        <f t="shared" si="1"/>
        <v>750000</v>
      </c>
    </row>
    <row r="43" spans="1:14" x14ac:dyDescent="0.3">
      <c r="A43" s="31" t="s">
        <v>138</v>
      </c>
      <c r="B43" s="31" t="s">
        <v>139</v>
      </c>
      <c r="C43" s="31" t="s">
        <v>36</v>
      </c>
      <c r="D43" s="31" t="s">
        <v>159</v>
      </c>
      <c r="E43" s="31" t="s">
        <v>122</v>
      </c>
      <c r="F43" s="31" t="s">
        <v>110</v>
      </c>
      <c r="G43" s="31" t="s">
        <v>120</v>
      </c>
      <c r="H43" s="36">
        <v>42765</v>
      </c>
      <c r="I43" s="47">
        <v>150000</v>
      </c>
      <c r="J43" s="1">
        <v>154500</v>
      </c>
      <c r="K43" s="1">
        <v>159135</v>
      </c>
      <c r="L43" s="1">
        <v>163909.05000000002</v>
      </c>
      <c r="M43" s="1">
        <v>168826.32150000002</v>
      </c>
      <c r="N43" s="7">
        <f t="shared" si="1"/>
        <v>796370.37150000012</v>
      </c>
    </row>
    <row r="44" spans="1:14" x14ac:dyDescent="0.3">
      <c r="A44" s="31" t="s">
        <v>134</v>
      </c>
      <c r="B44" s="31" t="s">
        <v>136</v>
      </c>
      <c r="C44" s="31" t="s">
        <v>37</v>
      </c>
      <c r="D44" s="31" t="s">
        <v>159</v>
      </c>
      <c r="E44" s="31" t="s">
        <v>114</v>
      </c>
      <c r="F44" s="31" t="s">
        <v>106</v>
      </c>
      <c r="G44" s="31" t="s">
        <v>127</v>
      </c>
      <c r="H44" s="36">
        <v>42819</v>
      </c>
      <c r="I44" s="47">
        <v>40000</v>
      </c>
      <c r="J44" s="1">
        <v>40000</v>
      </c>
      <c r="K44" s="1">
        <v>40000</v>
      </c>
      <c r="L44" s="1">
        <v>40000</v>
      </c>
      <c r="M44" s="1">
        <v>40000</v>
      </c>
      <c r="N44" s="7">
        <f t="shared" si="1"/>
        <v>200000</v>
      </c>
    </row>
    <row r="45" spans="1:14" x14ac:dyDescent="0.3">
      <c r="A45" s="31" t="s">
        <v>147</v>
      </c>
      <c r="B45" s="31" t="s">
        <v>148</v>
      </c>
      <c r="C45" s="31" t="s">
        <v>38</v>
      </c>
      <c r="D45" s="31" t="s">
        <v>160</v>
      </c>
      <c r="E45" s="31" t="s">
        <v>117</v>
      </c>
      <c r="F45" s="31" t="s">
        <v>112</v>
      </c>
      <c r="G45" s="31" t="s">
        <v>125</v>
      </c>
      <c r="H45" s="36">
        <v>42812</v>
      </c>
      <c r="I45" s="47">
        <v>240000</v>
      </c>
      <c r="J45" s="1">
        <v>240000</v>
      </c>
      <c r="K45" s="1">
        <v>240000</v>
      </c>
      <c r="L45" s="1">
        <v>240000</v>
      </c>
      <c r="M45" s="1">
        <v>0</v>
      </c>
      <c r="N45" s="7">
        <f t="shared" si="1"/>
        <v>960000</v>
      </c>
    </row>
    <row r="46" spans="1:14" x14ac:dyDescent="0.3">
      <c r="A46" s="31" t="s">
        <v>147</v>
      </c>
      <c r="B46" s="31" t="s">
        <v>151</v>
      </c>
      <c r="C46" s="31" t="s">
        <v>39</v>
      </c>
      <c r="D46" s="31" t="s">
        <v>160</v>
      </c>
      <c r="E46" s="31" t="s">
        <v>120</v>
      </c>
      <c r="F46" s="31" t="s">
        <v>106</v>
      </c>
      <c r="G46" s="31" t="s">
        <v>128</v>
      </c>
      <c r="H46" s="36">
        <v>42765</v>
      </c>
      <c r="I46" s="47">
        <v>10000</v>
      </c>
      <c r="J46" s="1">
        <v>10300</v>
      </c>
      <c r="K46" s="1">
        <v>10609</v>
      </c>
      <c r="L46" s="1">
        <v>10927.27</v>
      </c>
      <c r="M46" s="1">
        <v>11255.088100000001</v>
      </c>
      <c r="N46" s="7">
        <f t="shared" si="1"/>
        <v>53091.358100000005</v>
      </c>
    </row>
    <row r="47" spans="1:14" x14ac:dyDescent="0.3">
      <c r="A47" s="31" t="s">
        <v>138</v>
      </c>
      <c r="B47" s="31" t="s">
        <v>141</v>
      </c>
      <c r="C47" s="31" t="s">
        <v>40</v>
      </c>
      <c r="D47" s="31" t="s">
        <v>158</v>
      </c>
      <c r="E47" s="31" t="s">
        <v>118</v>
      </c>
      <c r="F47" s="31" t="s">
        <v>109</v>
      </c>
      <c r="G47" s="31" t="s">
        <v>127</v>
      </c>
      <c r="H47" s="36">
        <v>42805</v>
      </c>
      <c r="I47" s="47">
        <v>180000</v>
      </c>
      <c r="J47" s="1">
        <v>180000</v>
      </c>
      <c r="K47" s="1">
        <v>180000</v>
      </c>
      <c r="L47" s="1">
        <v>180000</v>
      </c>
      <c r="M47" s="1">
        <v>180000</v>
      </c>
      <c r="N47" s="7">
        <f t="shared" si="1"/>
        <v>900000</v>
      </c>
    </row>
    <row r="48" spans="1:14" x14ac:dyDescent="0.3">
      <c r="A48" s="31" t="s">
        <v>138</v>
      </c>
      <c r="B48" s="31" t="s">
        <v>145</v>
      </c>
      <c r="C48" s="31" t="s">
        <v>41</v>
      </c>
      <c r="D48" s="31" t="s">
        <v>159</v>
      </c>
      <c r="E48" s="31" t="s">
        <v>122</v>
      </c>
      <c r="F48" s="31" t="s">
        <v>103</v>
      </c>
      <c r="G48" s="31" t="s">
        <v>124</v>
      </c>
      <c r="H48" s="36">
        <v>42821</v>
      </c>
      <c r="I48" s="47">
        <v>130000</v>
      </c>
      <c r="J48" s="1">
        <v>132600</v>
      </c>
      <c r="K48" s="1">
        <v>135252</v>
      </c>
      <c r="L48" s="1">
        <v>137957.04</v>
      </c>
      <c r="M48" s="1">
        <v>140716.1808</v>
      </c>
      <c r="N48" s="7">
        <f t="shared" si="1"/>
        <v>676525.22080000001</v>
      </c>
    </row>
    <row r="49" spans="1:14" x14ac:dyDescent="0.3">
      <c r="A49" s="31" t="s">
        <v>134</v>
      </c>
      <c r="B49" s="31" t="s">
        <v>135</v>
      </c>
      <c r="C49" s="31" t="s">
        <v>42</v>
      </c>
      <c r="D49" s="31" t="s">
        <v>160</v>
      </c>
      <c r="E49" s="31" t="s">
        <v>122</v>
      </c>
      <c r="F49" s="31" t="s">
        <v>106</v>
      </c>
      <c r="G49" s="31" t="s">
        <v>127</v>
      </c>
      <c r="H49" s="36">
        <v>42775</v>
      </c>
      <c r="I49" s="47">
        <v>220000</v>
      </c>
      <c r="J49" s="1">
        <v>222200</v>
      </c>
      <c r="K49" s="1">
        <v>224422</v>
      </c>
      <c r="L49" s="1">
        <v>226666.22</v>
      </c>
      <c r="M49" s="1">
        <v>0</v>
      </c>
      <c r="N49" s="7">
        <f t="shared" si="1"/>
        <v>893288.22</v>
      </c>
    </row>
    <row r="50" spans="1:14" x14ac:dyDescent="0.3">
      <c r="A50" s="31" t="s">
        <v>134</v>
      </c>
      <c r="B50" s="31" t="s">
        <v>132</v>
      </c>
      <c r="C50" s="31" t="s">
        <v>43</v>
      </c>
      <c r="D50" s="31" t="s">
        <v>159</v>
      </c>
      <c r="E50" s="31" t="s">
        <v>115</v>
      </c>
      <c r="F50" s="31" t="s">
        <v>103</v>
      </c>
      <c r="G50" s="31" t="s">
        <v>126</v>
      </c>
      <c r="H50" s="36">
        <v>42751</v>
      </c>
      <c r="I50" s="47">
        <v>180000</v>
      </c>
      <c r="J50" s="1">
        <v>180000</v>
      </c>
      <c r="K50" s="1">
        <v>180000</v>
      </c>
      <c r="L50" s="1">
        <v>180000</v>
      </c>
      <c r="M50" s="1">
        <v>180000</v>
      </c>
      <c r="N50" s="7">
        <f t="shared" si="1"/>
        <v>900000</v>
      </c>
    </row>
    <row r="51" spans="1:14" x14ac:dyDescent="0.3">
      <c r="A51" s="31" t="s">
        <v>134</v>
      </c>
      <c r="B51" s="31" t="s">
        <v>132</v>
      </c>
      <c r="C51" s="31" t="s">
        <v>44</v>
      </c>
      <c r="D51" s="31" t="s">
        <v>159</v>
      </c>
      <c r="E51" s="31" t="s">
        <v>121</v>
      </c>
      <c r="F51" s="31" t="s">
        <v>105</v>
      </c>
      <c r="G51" s="31" t="s">
        <v>128</v>
      </c>
      <c r="H51" s="36">
        <v>42834</v>
      </c>
      <c r="I51" s="47">
        <v>100000</v>
      </c>
      <c r="J51" s="1">
        <v>100000</v>
      </c>
      <c r="K51" s="1">
        <v>100000</v>
      </c>
      <c r="L51" s="1">
        <v>100000</v>
      </c>
      <c r="M51" s="1">
        <v>100000</v>
      </c>
      <c r="N51" s="7">
        <f t="shared" si="1"/>
        <v>500000</v>
      </c>
    </row>
    <row r="52" spans="1:14" x14ac:dyDescent="0.3">
      <c r="A52" s="31" t="s">
        <v>138</v>
      </c>
      <c r="B52" s="31" t="s">
        <v>143</v>
      </c>
      <c r="C52" s="31" t="s">
        <v>45</v>
      </c>
      <c r="D52" s="31" t="s">
        <v>158</v>
      </c>
      <c r="E52" s="31" t="s">
        <v>120</v>
      </c>
      <c r="F52" s="31" t="s">
        <v>107</v>
      </c>
      <c r="G52" s="31" t="s">
        <v>123</v>
      </c>
      <c r="H52" s="36">
        <v>42821</v>
      </c>
      <c r="I52" s="47">
        <v>140000</v>
      </c>
      <c r="J52" s="1">
        <v>142800</v>
      </c>
      <c r="K52" s="1">
        <v>145656</v>
      </c>
      <c r="L52" s="1">
        <v>148569.12</v>
      </c>
      <c r="M52" s="1">
        <v>151540.5024</v>
      </c>
      <c r="N52" s="7">
        <f t="shared" si="1"/>
        <v>728565.62239999999</v>
      </c>
    </row>
    <row r="53" spans="1:14" x14ac:dyDescent="0.3">
      <c r="A53" s="31" t="s">
        <v>138</v>
      </c>
      <c r="B53" s="31" t="s">
        <v>139</v>
      </c>
      <c r="C53" s="31" t="s">
        <v>46</v>
      </c>
      <c r="D53" s="31" t="s">
        <v>158</v>
      </c>
      <c r="E53" s="31" t="s">
        <v>116</v>
      </c>
      <c r="F53" s="31" t="s">
        <v>105</v>
      </c>
      <c r="G53" s="31" t="s">
        <v>124</v>
      </c>
      <c r="H53" s="36">
        <v>42861</v>
      </c>
      <c r="I53" s="47">
        <v>60000</v>
      </c>
      <c r="J53" s="1">
        <v>61200</v>
      </c>
      <c r="K53" s="1">
        <v>62424</v>
      </c>
      <c r="L53" s="1">
        <v>63672.480000000003</v>
      </c>
      <c r="M53" s="1">
        <v>64945.929600000003</v>
      </c>
      <c r="N53" s="7">
        <f t="shared" si="1"/>
        <v>312242.40960000001</v>
      </c>
    </row>
    <row r="54" spans="1:14" x14ac:dyDescent="0.3">
      <c r="A54" s="31" t="s">
        <v>138</v>
      </c>
      <c r="B54" s="31" t="s">
        <v>145</v>
      </c>
      <c r="C54" s="31" t="s">
        <v>47</v>
      </c>
      <c r="D54" s="31" t="s">
        <v>160</v>
      </c>
      <c r="E54" s="31" t="s">
        <v>113</v>
      </c>
      <c r="F54" s="31" t="s">
        <v>110</v>
      </c>
      <c r="G54" s="31" t="s">
        <v>127</v>
      </c>
      <c r="H54" s="36">
        <v>42909</v>
      </c>
      <c r="I54" s="47">
        <v>250000</v>
      </c>
      <c r="J54" s="1">
        <v>252500</v>
      </c>
      <c r="K54" s="1">
        <v>255025</v>
      </c>
      <c r="L54" s="1">
        <v>257575.25</v>
      </c>
      <c r="M54" s="1">
        <v>260151.0025</v>
      </c>
      <c r="N54" s="7">
        <f t="shared" si="1"/>
        <v>1275251.2524999999</v>
      </c>
    </row>
    <row r="55" spans="1:14" x14ac:dyDescent="0.3">
      <c r="A55" s="31" t="s">
        <v>147</v>
      </c>
      <c r="B55" s="31" t="s">
        <v>152</v>
      </c>
      <c r="C55" s="31" t="s">
        <v>48</v>
      </c>
      <c r="D55" s="31" t="s">
        <v>160</v>
      </c>
      <c r="E55" s="31" t="s">
        <v>120</v>
      </c>
      <c r="F55" s="31" t="s">
        <v>107</v>
      </c>
      <c r="G55" s="31" t="s">
        <v>128</v>
      </c>
      <c r="H55" s="36">
        <v>42799</v>
      </c>
      <c r="I55" s="47">
        <v>30000</v>
      </c>
      <c r="J55" s="1">
        <v>30300</v>
      </c>
      <c r="K55" s="1">
        <v>30603</v>
      </c>
      <c r="L55" s="1">
        <v>30909.03</v>
      </c>
      <c r="M55" s="1">
        <v>31218.120299999999</v>
      </c>
      <c r="N55" s="7">
        <f t="shared" si="1"/>
        <v>153030.15030000001</v>
      </c>
    </row>
    <row r="56" spans="1:14" x14ac:dyDescent="0.3">
      <c r="A56" s="31" t="s">
        <v>134</v>
      </c>
      <c r="B56" s="31" t="s">
        <v>136</v>
      </c>
      <c r="C56" s="31" t="s">
        <v>49</v>
      </c>
      <c r="D56" s="31" t="s">
        <v>160</v>
      </c>
      <c r="E56" s="31" t="s">
        <v>116</v>
      </c>
      <c r="F56" s="31" t="s">
        <v>104</v>
      </c>
      <c r="G56" s="31" t="s">
        <v>126</v>
      </c>
      <c r="H56" s="36">
        <v>42874</v>
      </c>
      <c r="I56" s="47">
        <v>120000</v>
      </c>
      <c r="J56" s="1">
        <v>123600</v>
      </c>
      <c r="K56" s="1">
        <v>127308</v>
      </c>
      <c r="L56" s="1">
        <v>131127.24</v>
      </c>
      <c r="M56" s="1">
        <v>135061.05719999998</v>
      </c>
      <c r="N56" s="7">
        <f t="shared" si="1"/>
        <v>637096.29719999991</v>
      </c>
    </row>
    <row r="57" spans="1:14" x14ac:dyDescent="0.3">
      <c r="A57" s="31" t="s">
        <v>138</v>
      </c>
      <c r="B57" s="31" t="s">
        <v>142</v>
      </c>
      <c r="C57" s="31" t="s">
        <v>50</v>
      </c>
      <c r="D57" s="31" t="s">
        <v>158</v>
      </c>
      <c r="E57" s="31" t="s">
        <v>121</v>
      </c>
      <c r="F57" s="31" t="s">
        <v>109</v>
      </c>
      <c r="G57" s="31" t="s">
        <v>126</v>
      </c>
      <c r="H57" s="36">
        <v>42829</v>
      </c>
      <c r="I57" s="47">
        <v>10000</v>
      </c>
      <c r="J57" s="1">
        <v>10200</v>
      </c>
      <c r="K57" s="1">
        <v>10404</v>
      </c>
      <c r="L57" s="1">
        <v>10612.08</v>
      </c>
      <c r="M57" s="1">
        <v>10824.321599999999</v>
      </c>
      <c r="N57" s="7">
        <f t="shared" si="1"/>
        <v>52040.401599999997</v>
      </c>
    </row>
    <row r="58" spans="1:14" x14ac:dyDescent="0.3">
      <c r="A58" s="31" t="s">
        <v>138</v>
      </c>
      <c r="B58" s="31" t="s">
        <v>140</v>
      </c>
      <c r="C58" s="31" t="s">
        <v>51</v>
      </c>
      <c r="D58" s="31" t="s">
        <v>158</v>
      </c>
      <c r="E58" s="31" t="s">
        <v>117</v>
      </c>
      <c r="F58" s="31" t="s">
        <v>110</v>
      </c>
      <c r="G58" s="31" t="s">
        <v>127</v>
      </c>
      <c r="H58" s="36">
        <v>42816</v>
      </c>
      <c r="I58" s="47">
        <v>40000</v>
      </c>
      <c r="J58" s="1">
        <v>40800</v>
      </c>
      <c r="K58" s="1">
        <v>41616</v>
      </c>
      <c r="L58" s="1">
        <v>42448.32</v>
      </c>
      <c r="M58" s="1">
        <v>43297.286399999997</v>
      </c>
      <c r="N58" s="7">
        <f t="shared" si="1"/>
        <v>208161.60639999999</v>
      </c>
    </row>
    <row r="59" spans="1:14" x14ac:dyDescent="0.3">
      <c r="A59" s="31" t="s">
        <v>147</v>
      </c>
      <c r="B59" s="31" t="s">
        <v>152</v>
      </c>
      <c r="C59" s="31" t="s">
        <v>52</v>
      </c>
      <c r="D59" s="31" t="s">
        <v>158</v>
      </c>
      <c r="E59" s="31" t="s">
        <v>116</v>
      </c>
      <c r="F59" s="31" t="s">
        <v>105</v>
      </c>
      <c r="G59" s="31" t="s">
        <v>128</v>
      </c>
      <c r="H59" s="36">
        <v>42929</v>
      </c>
      <c r="I59" s="47">
        <v>150000</v>
      </c>
      <c r="J59" s="1">
        <v>153000</v>
      </c>
      <c r="K59" s="1">
        <v>156060</v>
      </c>
      <c r="L59" s="1">
        <v>159181.20000000001</v>
      </c>
      <c r="M59" s="1">
        <v>162364.82400000002</v>
      </c>
      <c r="N59" s="7">
        <f t="shared" si="1"/>
        <v>780606.02399999998</v>
      </c>
    </row>
    <row r="60" spans="1:14" x14ac:dyDescent="0.3">
      <c r="A60" s="31" t="s">
        <v>134</v>
      </c>
      <c r="B60" s="31" t="s">
        <v>135</v>
      </c>
      <c r="C60" s="31" t="s">
        <v>53</v>
      </c>
      <c r="D60" s="31" t="s">
        <v>158</v>
      </c>
      <c r="E60" s="31" t="s">
        <v>121</v>
      </c>
      <c r="F60" s="31" t="s">
        <v>108</v>
      </c>
      <c r="G60" s="31" t="s">
        <v>128</v>
      </c>
      <c r="H60" s="36">
        <v>42835</v>
      </c>
      <c r="I60" s="47">
        <v>150000</v>
      </c>
      <c r="J60" s="1">
        <v>154500</v>
      </c>
      <c r="K60" s="1">
        <v>159135</v>
      </c>
      <c r="L60" s="1">
        <v>163909.05000000002</v>
      </c>
      <c r="M60" s="1">
        <v>168826.32150000002</v>
      </c>
      <c r="N60" s="7">
        <f t="shared" si="1"/>
        <v>796370.37150000012</v>
      </c>
    </row>
    <row r="61" spans="1:14" x14ac:dyDescent="0.3">
      <c r="A61" s="31" t="s">
        <v>138</v>
      </c>
      <c r="B61" s="31" t="s">
        <v>141</v>
      </c>
      <c r="C61" s="31" t="s">
        <v>54</v>
      </c>
      <c r="D61" s="31" t="s">
        <v>158</v>
      </c>
      <c r="E61" s="31" t="s">
        <v>116</v>
      </c>
      <c r="F61" s="31" t="s">
        <v>104</v>
      </c>
      <c r="G61" s="31" t="s">
        <v>125</v>
      </c>
      <c r="H61" s="36">
        <v>42894</v>
      </c>
      <c r="I61" s="47">
        <v>60000</v>
      </c>
      <c r="J61" s="1">
        <v>61800</v>
      </c>
      <c r="K61" s="1">
        <v>63654</v>
      </c>
      <c r="L61" s="1">
        <v>65563.62</v>
      </c>
      <c r="M61" s="1">
        <v>67530.528599999991</v>
      </c>
      <c r="N61" s="7">
        <f t="shared" si="1"/>
        <v>318548.14859999996</v>
      </c>
    </row>
    <row r="62" spans="1:14" x14ac:dyDescent="0.3">
      <c r="A62" s="31" t="s">
        <v>147</v>
      </c>
      <c r="B62" s="31" t="s">
        <v>150</v>
      </c>
      <c r="C62" s="31" t="s">
        <v>55</v>
      </c>
      <c r="D62" s="31" t="s">
        <v>158</v>
      </c>
      <c r="E62" s="31" t="s">
        <v>118</v>
      </c>
      <c r="F62" s="31" t="s">
        <v>111</v>
      </c>
      <c r="G62" s="31" t="s">
        <v>128</v>
      </c>
      <c r="H62" s="36">
        <v>42841</v>
      </c>
      <c r="I62" s="47">
        <v>130000</v>
      </c>
      <c r="J62" s="1">
        <v>130000</v>
      </c>
      <c r="K62" s="1">
        <v>130000</v>
      </c>
      <c r="L62" s="1">
        <v>130000</v>
      </c>
      <c r="M62" s="1">
        <v>130000</v>
      </c>
      <c r="N62" s="7">
        <f t="shared" si="1"/>
        <v>650000</v>
      </c>
    </row>
    <row r="63" spans="1:14" x14ac:dyDescent="0.3">
      <c r="A63" s="31" t="s">
        <v>138</v>
      </c>
      <c r="B63" s="31" t="s">
        <v>146</v>
      </c>
      <c r="C63" s="31" t="s">
        <v>56</v>
      </c>
      <c r="D63" s="31" t="s">
        <v>159</v>
      </c>
      <c r="E63" s="31" t="s">
        <v>119</v>
      </c>
      <c r="F63" s="31" t="s">
        <v>105</v>
      </c>
      <c r="G63" s="31" t="s">
        <v>128</v>
      </c>
      <c r="H63" s="36">
        <v>42874</v>
      </c>
      <c r="I63" s="47">
        <v>60000</v>
      </c>
      <c r="J63" s="1">
        <v>61800</v>
      </c>
      <c r="K63" s="1">
        <v>63654</v>
      </c>
      <c r="L63" s="1">
        <v>65563.62</v>
      </c>
      <c r="M63" s="1">
        <v>67530.528599999991</v>
      </c>
      <c r="N63" s="7">
        <f t="shared" si="1"/>
        <v>318548.14859999996</v>
      </c>
    </row>
    <row r="64" spans="1:14" x14ac:dyDescent="0.3">
      <c r="A64" s="31" t="s">
        <v>134</v>
      </c>
      <c r="B64" s="31" t="s">
        <v>136</v>
      </c>
      <c r="C64" s="31" t="s">
        <v>57</v>
      </c>
      <c r="D64" s="31" t="s">
        <v>158</v>
      </c>
      <c r="E64" s="31" t="s">
        <v>117</v>
      </c>
      <c r="F64" s="31" t="s">
        <v>106</v>
      </c>
      <c r="G64" s="31" t="s">
        <v>126</v>
      </c>
      <c r="H64" s="36">
        <v>42804</v>
      </c>
      <c r="I64" s="47">
        <v>10000</v>
      </c>
      <c r="J64" s="1">
        <v>10100</v>
      </c>
      <c r="K64" s="1">
        <v>10201</v>
      </c>
      <c r="L64" s="1">
        <v>10303.01</v>
      </c>
      <c r="M64" s="1">
        <v>10406.0401</v>
      </c>
      <c r="N64" s="7">
        <f t="shared" si="1"/>
        <v>51010.0501</v>
      </c>
    </row>
    <row r="65" spans="1:14" x14ac:dyDescent="0.3">
      <c r="A65" s="31" t="s">
        <v>138</v>
      </c>
      <c r="B65" s="31" t="s">
        <v>146</v>
      </c>
      <c r="C65" s="31" t="s">
        <v>58</v>
      </c>
      <c r="D65" s="31" t="s">
        <v>159</v>
      </c>
      <c r="E65" s="31" t="s">
        <v>116</v>
      </c>
      <c r="F65" s="31" t="s">
        <v>104</v>
      </c>
      <c r="G65" s="31" t="s">
        <v>123</v>
      </c>
      <c r="H65" s="36">
        <v>42836</v>
      </c>
      <c r="I65" s="47">
        <v>220000</v>
      </c>
      <c r="J65" s="1">
        <v>222200</v>
      </c>
      <c r="K65" s="1">
        <v>224422</v>
      </c>
      <c r="L65" s="1">
        <v>0</v>
      </c>
      <c r="M65" s="1">
        <v>0</v>
      </c>
      <c r="N65" s="7">
        <f t="shared" si="1"/>
        <v>666622</v>
      </c>
    </row>
    <row r="66" spans="1:14" x14ac:dyDescent="0.3">
      <c r="A66" s="31" t="s">
        <v>147</v>
      </c>
      <c r="B66" s="31" t="s">
        <v>148</v>
      </c>
      <c r="C66" s="31" t="s">
        <v>59</v>
      </c>
      <c r="D66" s="31" t="s">
        <v>158</v>
      </c>
      <c r="E66" s="31" t="s">
        <v>119</v>
      </c>
      <c r="F66" s="31" t="s">
        <v>104</v>
      </c>
      <c r="G66" s="31" t="s">
        <v>125</v>
      </c>
      <c r="H66" s="36">
        <v>42803</v>
      </c>
      <c r="I66" s="47">
        <v>150000</v>
      </c>
      <c r="J66" s="1">
        <v>151500</v>
      </c>
      <c r="K66" s="1">
        <v>153015</v>
      </c>
      <c r="L66" s="1">
        <v>154545.15</v>
      </c>
      <c r="M66" s="1">
        <v>156090.60149999999</v>
      </c>
      <c r="N66" s="7">
        <f t="shared" si="1"/>
        <v>765150.75150000001</v>
      </c>
    </row>
    <row r="67" spans="1:14" x14ac:dyDescent="0.3">
      <c r="A67" s="31" t="s">
        <v>134</v>
      </c>
      <c r="B67" s="31" t="s">
        <v>137</v>
      </c>
      <c r="C67" s="31" t="s">
        <v>60</v>
      </c>
      <c r="D67" s="31" t="s">
        <v>158</v>
      </c>
      <c r="E67" s="31" t="s">
        <v>119</v>
      </c>
      <c r="F67" s="31" t="s">
        <v>110</v>
      </c>
      <c r="G67" s="31" t="s">
        <v>124</v>
      </c>
      <c r="H67" s="36">
        <v>42849</v>
      </c>
      <c r="I67" s="47">
        <v>150000</v>
      </c>
      <c r="J67" s="1">
        <v>0</v>
      </c>
      <c r="K67" s="1">
        <v>0</v>
      </c>
      <c r="L67" s="1">
        <v>0</v>
      </c>
      <c r="M67" s="1">
        <v>0</v>
      </c>
      <c r="N67" s="7">
        <f t="shared" si="1"/>
        <v>150000</v>
      </c>
    </row>
    <row r="68" spans="1:14" x14ac:dyDescent="0.3">
      <c r="A68" s="31" t="s">
        <v>134</v>
      </c>
      <c r="B68" s="31" t="s">
        <v>129</v>
      </c>
      <c r="C68" s="31" t="s">
        <v>61</v>
      </c>
      <c r="D68" s="31" t="s">
        <v>159</v>
      </c>
      <c r="E68" s="31" t="s">
        <v>116</v>
      </c>
      <c r="F68" s="31" t="s">
        <v>106</v>
      </c>
      <c r="G68" s="31" t="s">
        <v>123</v>
      </c>
      <c r="H68" s="36">
        <v>42822</v>
      </c>
      <c r="I68" s="47">
        <v>70000</v>
      </c>
      <c r="J68" s="1">
        <v>72100</v>
      </c>
      <c r="K68" s="1">
        <v>74263</v>
      </c>
      <c r="L68" s="1">
        <v>76490.89</v>
      </c>
      <c r="M68" s="1">
        <v>78785.616699999999</v>
      </c>
      <c r="N68" s="7">
        <f t="shared" si="1"/>
        <v>371639.50670000003</v>
      </c>
    </row>
    <row r="69" spans="1:14" x14ac:dyDescent="0.3">
      <c r="A69" s="31" t="s">
        <v>147</v>
      </c>
      <c r="B69" s="31" t="s">
        <v>148</v>
      </c>
      <c r="C69" s="31" t="s">
        <v>62</v>
      </c>
      <c r="D69" s="31" t="s">
        <v>158</v>
      </c>
      <c r="E69" s="31" t="s">
        <v>119</v>
      </c>
      <c r="F69" s="31" t="s">
        <v>110</v>
      </c>
      <c r="G69" s="31" t="s">
        <v>126</v>
      </c>
      <c r="H69" s="36">
        <v>42768</v>
      </c>
      <c r="I69" s="47">
        <v>210000</v>
      </c>
      <c r="J69" s="1">
        <v>210000</v>
      </c>
      <c r="K69" s="1">
        <v>210000</v>
      </c>
      <c r="L69" s="1">
        <v>210000</v>
      </c>
      <c r="M69" s="1">
        <v>210000</v>
      </c>
      <c r="N69" s="7">
        <f t="shared" si="1"/>
        <v>1050000</v>
      </c>
    </row>
    <row r="70" spans="1:14" x14ac:dyDescent="0.3">
      <c r="A70" s="31" t="s">
        <v>138</v>
      </c>
      <c r="B70" s="31" t="s">
        <v>145</v>
      </c>
      <c r="C70" s="31" t="s">
        <v>63</v>
      </c>
      <c r="D70" s="31" t="s">
        <v>158</v>
      </c>
      <c r="E70" s="31" t="s">
        <v>120</v>
      </c>
      <c r="F70" s="31" t="s">
        <v>109</v>
      </c>
      <c r="G70" s="31" t="s">
        <v>120</v>
      </c>
      <c r="H70" s="36">
        <v>42916</v>
      </c>
      <c r="I70" s="47">
        <v>40000</v>
      </c>
      <c r="J70" s="1">
        <v>40000</v>
      </c>
      <c r="K70" s="1">
        <v>40000</v>
      </c>
      <c r="L70" s="1">
        <v>40000</v>
      </c>
      <c r="M70" s="1">
        <v>40000</v>
      </c>
      <c r="N70" s="7">
        <f t="shared" si="1"/>
        <v>200000</v>
      </c>
    </row>
    <row r="71" spans="1:14" x14ac:dyDescent="0.3">
      <c r="A71" s="31" t="s">
        <v>138</v>
      </c>
      <c r="B71" s="31" t="s">
        <v>144</v>
      </c>
      <c r="C71" s="31" t="s">
        <v>64</v>
      </c>
      <c r="D71" s="31" t="s">
        <v>159</v>
      </c>
      <c r="E71" s="31" t="s">
        <v>114</v>
      </c>
      <c r="F71" s="31" t="s">
        <v>108</v>
      </c>
      <c r="G71" s="31" t="s">
        <v>128</v>
      </c>
      <c r="H71" s="36">
        <v>42764</v>
      </c>
      <c r="I71" s="47">
        <v>230000</v>
      </c>
      <c r="J71" s="1">
        <v>234600</v>
      </c>
      <c r="K71" s="1">
        <v>239292</v>
      </c>
      <c r="L71" s="1">
        <v>244077.84</v>
      </c>
      <c r="M71" s="1">
        <v>248959.39679999999</v>
      </c>
      <c r="N71" s="7">
        <f t="shared" si="1"/>
        <v>1196929.2368000001</v>
      </c>
    </row>
    <row r="72" spans="1:14" x14ac:dyDescent="0.3">
      <c r="A72" s="31" t="s">
        <v>147</v>
      </c>
      <c r="B72" s="31" t="s">
        <v>149</v>
      </c>
      <c r="C72" s="31" t="s">
        <v>65</v>
      </c>
      <c r="D72" s="31" t="s">
        <v>160</v>
      </c>
      <c r="E72" s="31" t="s">
        <v>115</v>
      </c>
      <c r="F72" s="31" t="s">
        <v>107</v>
      </c>
      <c r="G72" s="31" t="s">
        <v>126</v>
      </c>
      <c r="H72" s="36">
        <v>42860</v>
      </c>
      <c r="I72" s="47">
        <v>140000</v>
      </c>
      <c r="J72" s="1">
        <v>140000</v>
      </c>
      <c r="K72" s="1">
        <v>140000</v>
      </c>
      <c r="L72" s="1">
        <v>140000</v>
      </c>
      <c r="M72" s="1">
        <v>140000</v>
      </c>
      <c r="N72" s="7">
        <f t="shared" ref="N72:N106" si="2">SUM(I72:M72)</f>
        <v>700000</v>
      </c>
    </row>
    <row r="73" spans="1:14" x14ac:dyDescent="0.3">
      <c r="A73" s="31" t="s">
        <v>134</v>
      </c>
      <c r="B73" s="31" t="s">
        <v>129</v>
      </c>
      <c r="C73" s="31" t="s">
        <v>66</v>
      </c>
      <c r="D73" s="31" t="s">
        <v>159</v>
      </c>
      <c r="E73" s="31" t="s">
        <v>118</v>
      </c>
      <c r="F73" s="31" t="s">
        <v>110</v>
      </c>
      <c r="G73" s="31" t="s">
        <v>127</v>
      </c>
      <c r="H73" s="36">
        <v>42928</v>
      </c>
      <c r="I73" s="47">
        <v>140000</v>
      </c>
      <c r="J73" s="1">
        <v>140000</v>
      </c>
      <c r="K73" s="1">
        <v>140000</v>
      </c>
      <c r="L73" s="1">
        <v>140000</v>
      </c>
      <c r="M73" s="1">
        <v>140000</v>
      </c>
      <c r="N73" s="7">
        <f t="shared" si="2"/>
        <v>700000</v>
      </c>
    </row>
    <row r="74" spans="1:14" x14ac:dyDescent="0.3">
      <c r="A74" s="31" t="s">
        <v>147</v>
      </c>
      <c r="B74" s="31" t="s">
        <v>149</v>
      </c>
      <c r="C74" s="31" t="s">
        <v>67</v>
      </c>
      <c r="D74" s="31" t="s">
        <v>159</v>
      </c>
      <c r="E74" s="31" t="s">
        <v>122</v>
      </c>
      <c r="F74" s="31" t="s">
        <v>111</v>
      </c>
      <c r="G74" s="31" t="s">
        <v>127</v>
      </c>
      <c r="H74" s="36">
        <v>42763</v>
      </c>
      <c r="I74" s="47">
        <v>140000</v>
      </c>
      <c r="J74" s="1">
        <v>141400</v>
      </c>
      <c r="K74" s="1">
        <v>142814</v>
      </c>
      <c r="L74" s="1">
        <v>144242.14000000001</v>
      </c>
      <c r="M74" s="1">
        <v>145684.56140000001</v>
      </c>
      <c r="N74" s="7">
        <f t="shared" si="2"/>
        <v>714140.70140000002</v>
      </c>
    </row>
    <row r="75" spans="1:14" x14ac:dyDescent="0.3">
      <c r="A75" s="31" t="s">
        <v>138</v>
      </c>
      <c r="B75" s="31" t="s">
        <v>142</v>
      </c>
      <c r="C75" s="31" t="s">
        <v>68</v>
      </c>
      <c r="D75" s="31" t="s">
        <v>158</v>
      </c>
      <c r="E75" s="31" t="s">
        <v>121</v>
      </c>
      <c r="F75" s="31" t="s">
        <v>110</v>
      </c>
      <c r="G75" s="31" t="s">
        <v>124</v>
      </c>
      <c r="H75" s="36">
        <v>42836</v>
      </c>
      <c r="I75" s="47">
        <v>180000</v>
      </c>
      <c r="J75" s="1">
        <v>183600</v>
      </c>
      <c r="K75" s="1">
        <v>187272</v>
      </c>
      <c r="L75" s="1">
        <v>191017.44</v>
      </c>
      <c r="M75" s="1">
        <v>194837.78880000001</v>
      </c>
      <c r="N75" s="7">
        <f t="shared" si="2"/>
        <v>936727.22879999992</v>
      </c>
    </row>
    <row r="76" spans="1:14" x14ac:dyDescent="0.3">
      <c r="A76" s="31" t="s">
        <v>138</v>
      </c>
      <c r="B76" s="31" t="s">
        <v>143</v>
      </c>
      <c r="C76" s="31" t="s">
        <v>69</v>
      </c>
      <c r="D76" s="31" t="s">
        <v>158</v>
      </c>
      <c r="E76" s="31" t="s">
        <v>115</v>
      </c>
      <c r="F76" s="31" t="s">
        <v>109</v>
      </c>
      <c r="G76" s="31" t="s">
        <v>126</v>
      </c>
      <c r="H76" s="36">
        <v>42802</v>
      </c>
      <c r="I76" s="47">
        <v>20000</v>
      </c>
      <c r="J76" s="1">
        <v>20600</v>
      </c>
      <c r="K76" s="1">
        <v>21218</v>
      </c>
      <c r="L76" s="1">
        <v>21854.54</v>
      </c>
      <c r="M76" s="1">
        <v>22510.176200000002</v>
      </c>
      <c r="N76" s="7">
        <f t="shared" si="2"/>
        <v>106182.71620000001</v>
      </c>
    </row>
    <row r="77" spans="1:14" x14ac:dyDescent="0.3">
      <c r="A77" s="31" t="s">
        <v>134</v>
      </c>
      <c r="B77" s="31" t="s">
        <v>137</v>
      </c>
      <c r="C77" s="31" t="s">
        <v>70</v>
      </c>
      <c r="D77" s="31" t="s">
        <v>160</v>
      </c>
      <c r="E77" s="31" t="s">
        <v>113</v>
      </c>
      <c r="F77" s="31" t="s">
        <v>109</v>
      </c>
      <c r="G77" s="31" t="s">
        <v>120</v>
      </c>
      <c r="H77" s="36">
        <v>42774</v>
      </c>
      <c r="I77" s="47">
        <v>30000</v>
      </c>
      <c r="J77" s="1">
        <v>30900</v>
      </c>
      <c r="K77" s="1">
        <v>31827</v>
      </c>
      <c r="L77" s="1">
        <v>32781.81</v>
      </c>
      <c r="M77" s="1">
        <v>33765.264299999995</v>
      </c>
      <c r="N77" s="7">
        <f t="shared" si="2"/>
        <v>159274.07429999998</v>
      </c>
    </row>
    <row r="78" spans="1:14" x14ac:dyDescent="0.3">
      <c r="A78" s="31" t="s">
        <v>138</v>
      </c>
      <c r="B78" s="31" t="s">
        <v>145</v>
      </c>
      <c r="C78" s="31" t="s">
        <v>71</v>
      </c>
      <c r="D78" s="31" t="s">
        <v>159</v>
      </c>
      <c r="E78" s="31" t="s">
        <v>120</v>
      </c>
      <c r="F78" s="31" t="s">
        <v>106</v>
      </c>
      <c r="G78" s="31" t="s">
        <v>128</v>
      </c>
      <c r="H78" s="36">
        <v>42777</v>
      </c>
      <c r="I78" s="47">
        <v>90000</v>
      </c>
      <c r="J78" s="1">
        <v>90000</v>
      </c>
      <c r="K78" s="1">
        <v>90000</v>
      </c>
      <c r="L78" s="1">
        <v>90000</v>
      </c>
      <c r="M78" s="1">
        <v>90000</v>
      </c>
      <c r="N78" s="7">
        <f t="shared" si="2"/>
        <v>450000</v>
      </c>
    </row>
    <row r="79" spans="1:14" x14ac:dyDescent="0.3">
      <c r="A79" s="31" t="s">
        <v>138</v>
      </c>
      <c r="B79" s="31" t="s">
        <v>140</v>
      </c>
      <c r="C79" s="31" t="s">
        <v>72</v>
      </c>
      <c r="D79" s="31" t="s">
        <v>160</v>
      </c>
      <c r="E79" s="31" t="s">
        <v>120</v>
      </c>
      <c r="F79" s="31" t="s">
        <v>106</v>
      </c>
      <c r="G79" s="31" t="s">
        <v>125</v>
      </c>
      <c r="H79" s="36">
        <v>42849</v>
      </c>
      <c r="I79" s="47">
        <v>230000</v>
      </c>
      <c r="J79" s="1">
        <v>234600</v>
      </c>
      <c r="K79" s="1">
        <v>239292</v>
      </c>
      <c r="L79" s="1">
        <v>244077.84</v>
      </c>
      <c r="M79" s="1">
        <v>248959.39679999999</v>
      </c>
      <c r="N79" s="7">
        <f t="shared" si="2"/>
        <v>1196929.2368000001</v>
      </c>
    </row>
    <row r="80" spans="1:14" x14ac:dyDescent="0.3">
      <c r="A80" s="31" t="s">
        <v>147</v>
      </c>
      <c r="B80" s="31" t="s">
        <v>152</v>
      </c>
      <c r="C80" s="31" t="s">
        <v>73</v>
      </c>
      <c r="D80" s="31" t="s">
        <v>158</v>
      </c>
      <c r="E80" s="31" t="s">
        <v>117</v>
      </c>
      <c r="F80" s="31" t="s">
        <v>104</v>
      </c>
      <c r="G80" s="31" t="s">
        <v>127</v>
      </c>
      <c r="H80" s="36">
        <v>42840</v>
      </c>
      <c r="I80" s="47">
        <v>200000</v>
      </c>
      <c r="J80" s="1">
        <v>202000</v>
      </c>
      <c r="K80" s="1">
        <v>204020</v>
      </c>
      <c r="L80" s="1">
        <v>0</v>
      </c>
      <c r="M80" s="1">
        <v>0</v>
      </c>
      <c r="N80" s="7">
        <f t="shared" si="2"/>
        <v>606020</v>
      </c>
    </row>
    <row r="81" spans="1:14" x14ac:dyDescent="0.3">
      <c r="A81" s="31" t="s">
        <v>147</v>
      </c>
      <c r="B81" s="31" t="s">
        <v>152</v>
      </c>
      <c r="C81" s="31" t="s">
        <v>74</v>
      </c>
      <c r="D81" s="31" t="s">
        <v>159</v>
      </c>
      <c r="E81" s="31" t="s">
        <v>117</v>
      </c>
      <c r="F81" s="31" t="s">
        <v>105</v>
      </c>
      <c r="G81" s="31" t="s">
        <v>126</v>
      </c>
      <c r="H81" s="36">
        <v>42866</v>
      </c>
      <c r="I81" s="47">
        <v>250000</v>
      </c>
      <c r="J81" s="1">
        <v>252500</v>
      </c>
      <c r="K81" s="1">
        <v>255025</v>
      </c>
      <c r="L81" s="1">
        <v>257575.25</v>
      </c>
      <c r="M81" s="1">
        <v>260151.0025</v>
      </c>
      <c r="N81" s="7">
        <f t="shared" si="2"/>
        <v>1275251.2524999999</v>
      </c>
    </row>
    <row r="82" spans="1:14" x14ac:dyDescent="0.3">
      <c r="A82" s="31" t="s">
        <v>138</v>
      </c>
      <c r="B82" s="31" t="s">
        <v>142</v>
      </c>
      <c r="C82" s="31" t="s">
        <v>75</v>
      </c>
      <c r="D82" s="31" t="s">
        <v>158</v>
      </c>
      <c r="E82" s="31" t="s">
        <v>117</v>
      </c>
      <c r="F82" s="31" t="s">
        <v>111</v>
      </c>
      <c r="G82" s="31" t="s">
        <v>128</v>
      </c>
      <c r="H82" s="36">
        <v>42896</v>
      </c>
      <c r="I82" s="47">
        <v>170000</v>
      </c>
      <c r="J82" s="1">
        <v>170000</v>
      </c>
      <c r="K82" s="1">
        <v>170000</v>
      </c>
      <c r="L82" s="1">
        <v>170000</v>
      </c>
      <c r="M82" s="1">
        <v>170000</v>
      </c>
      <c r="N82" s="7">
        <f t="shared" si="2"/>
        <v>850000</v>
      </c>
    </row>
    <row r="83" spans="1:14" x14ac:dyDescent="0.3">
      <c r="A83" s="31" t="s">
        <v>134</v>
      </c>
      <c r="B83" s="31" t="s">
        <v>130</v>
      </c>
      <c r="C83" s="31" t="s">
        <v>76</v>
      </c>
      <c r="D83" s="31" t="s">
        <v>160</v>
      </c>
      <c r="E83" s="31" t="s">
        <v>118</v>
      </c>
      <c r="F83" s="31" t="s">
        <v>107</v>
      </c>
      <c r="G83" s="31" t="s">
        <v>125</v>
      </c>
      <c r="H83" s="36">
        <v>42760</v>
      </c>
      <c r="I83" s="47">
        <v>20000</v>
      </c>
      <c r="J83" s="1">
        <v>20600</v>
      </c>
      <c r="K83" s="1">
        <v>21218</v>
      </c>
      <c r="L83" s="1">
        <v>21854.54</v>
      </c>
      <c r="M83" s="1">
        <v>22510.176200000002</v>
      </c>
      <c r="N83" s="7">
        <f t="shared" si="2"/>
        <v>106182.71620000001</v>
      </c>
    </row>
    <row r="84" spans="1:14" x14ac:dyDescent="0.3">
      <c r="A84" s="31" t="s">
        <v>138</v>
      </c>
      <c r="B84" s="31" t="s">
        <v>142</v>
      </c>
      <c r="C84" s="31" t="s">
        <v>77</v>
      </c>
      <c r="D84" s="31" t="s">
        <v>159</v>
      </c>
      <c r="E84" s="31" t="s">
        <v>118</v>
      </c>
      <c r="F84" s="31" t="s">
        <v>105</v>
      </c>
      <c r="G84" s="31" t="s">
        <v>126</v>
      </c>
      <c r="H84" s="36">
        <v>42903</v>
      </c>
      <c r="I84" s="47">
        <v>30000</v>
      </c>
      <c r="J84" s="1">
        <v>30900</v>
      </c>
      <c r="K84" s="1">
        <v>31827</v>
      </c>
      <c r="L84" s="1">
        <v>32781.81</v>
      </c>
      <c r="M84" s="1">
        <v>33765.264299999995</v>
      </c>
      <c r="N84" s="7">
        <f t="shared" si="2"/>
        <v>159274.07429999998</v>
      </c>
    </row>
    <row r="85" spans="1:14" x14ac:dyDescent="0.3">
      <c r="A85" s="31" t="s">
        <v>147</v>
      </c>
      <c r="B85" s="31" t="s">
        <v>151</v>
      </c>
      <c r="C85" s="31" t="s">
        <v>78</v>
      </c>
      <c r="D85" s="31" t="s">
        <v>159</v>
      </c>
      <c r="E85" s="31" t="s">
        <v>122</v>
      </c>
      <c r="F85" s="31" t="s">
        <v>108</v>
      </c>
      <c r="G85" s="31" t="s">
        <v>124</v>
      </c>
      <c r="H85" s="36">
        <v>42878</v>
      </c>
      <c r="I85" s="47">
        <v>220000</v>
      </c>
      <c r="J85" s="1">
        <v>224400</v>
      </c>
      <c r="K85" s="1">
        <v>228888</v>
      </c>
      <c r="L85" s="1">
        <v>233465.76</v>
      </c>
      <c r="M85" s="1">
        <v>238135.07520000002</v>
      </c>
      <c r="N85" s="7">
        <f t="shared" si="2"/>
        <v>1144888.8352000001</v>
      </c>
    </row>
    <row r="86" spans="1:14" x14ac:dyDescent="0.3">
      <c r="A86" s="31" t="s">
        <v>138</v>
      </c>
      <c r="B86" s="31" t="s">
        <v>145</v>
      </c>
      <c r="C86" s="31" t="s">
        <v>79</v>
      </c>
      <c r="D86" s="31" t="s">
        <v>158</v>
      </c>
      <c r="E86" s="31" t="s">
        <v>113</v>
      </c>
      <c r="F86" s="31" t="s">
        <v>103</v>
      </c>
      <c r="G86" s="31" t="s">
        <v>123</v>
      </c>
      <c r="H86" s="36">
        <v>42861</v>
      </c>
      <c r="I86" s="47">
        <v>20000</v>
      </c>
      <c r="J86" s="1">
        <v>20000</v>
      </c>
      <c r="K86" s="1">
        <v>20000</v>
      </c>
      <c r="L86" s="1">
        <v>20000</v>
      </c>
      <c r="M86" s="1">
        <v>20000</v>
      </c>
      <c r="N86" s="7">
        <f t="shared" si="2"/>
        <v>100000</v>
      </c>
    </row>
    <row r="87" spans="1:14" x14ac:dyDescent="0.3">
      <c r="A87" s="31" t="s">
        <v>147</v>
      </c>
      <c r="B87" s="31" t="s">
        <v>151</v>
      </c>
      <c r="C87" s="31" t="s">
        <v>80</v>
      </c>
      <c r="D87" s="31" t="s">
        <v>159</v>
      </c>
      <c r="E87" s="31" t="s">
        <v>120</v>
      </c>
      <c r="F87" s="31" t="s">
        <v>107</v>
      </c>
      <c r="G87" s="31" t="s">
        <v>128</v>
      </c>
      <c r="H87" s="36">
        <v>42869</v>
      </c>
      <c r="I87" s="47">
        <v>110000</v>
      </c>
      <c r="J87" s="1">
        <v>112200</v>
      </c>
      <c r="K87" s="1">
        <v>114444</v>
      </c>
      <c r="L87" s="1">
        <v>116732.88</v>
      </c>
      <c r="M87" s="1">
        <v>119067.53760000001</v>
      </c>
      <c r="N87" s="7">
        <f t="shared" si="2"/>
        <v>572444.41760000004</v>
      </c>
    </row>
    <row r="88" spans="1:14" x14ac:dyDescent="0.3">
      <c r="A88" s="31" t="s">
        <v>147</v>
      </c>
      <c r="B88" s="31" t="s">
        <v>151</v>
      </c>
      <c r="C88" s="31" t="s">
        <v>81</v>
      </c>
      <c r="D88" s="31" t="s">
        <v>159</v>
      </c>
      <c r="E88" s="31" t="s">
        <v>118</v>
      </c>
      <c r="F88" s="31" t="s">
        <v>111</v>
      </c>
      <c r="G88" s="31" t="s">
        <v>127</v>
      </c>
      <c r="H88" s="36">
        <v>42895</v>
      </c>
      <c r="I88" s="47">
        <v>40000</v>
      </c>
      <c r="J88" s="1">
        <v>40000</v>
      </c>
      <c r="K88" s="1">
        <v>40000</v>
      </c>
      <c r="L88" s="1">
        <v>40000</v>
      </c>
      <c r="M88" s="1">
        <v>40000</v>
      </c>
      <c r="N88" s="7">
        <f t="shared" si="2"/>
        <v>200000</v>
      </c>
    </row>
    <row r="89" spans="1:14" x14ac:dyDescent="0.3">
      <c r="A89" s="31" t="s">
        <v>147</v>
      </c>
      <c r="B89" s="31" t="s">
        <v>148</v>
      </c>
      <c r="C89" s="31" t="s">
        <v>82</v>
      </c>
      <c r="D89" s="31" t="s">
        <v>160</v>
      </c>
      <c r="E89" s="31" t="s">
        <v>120</v>
      </c>
      <c r="F89" s="31" t="s">
        <v>103</v>
      </c>
      <c r="G89" s="31" t="s">
        <v>126</v>
      </c>
      <c r="H89" s="36">
        <v>42916</v>
      </c>
      <c r="I89" s="47">
        <v>160000</v>
      </c>
      <c r="J89" s="1">
        <v>163200</v>
      </c>
      <c r="K89" s="1">
        <v>166464</v>
      </c>
      <c r="L89" s="1">
        <v>169793.28</v>
      </c>
      <c r="M89" s="1">
        <v>173189.14559999999</v>
      </c>
      <c r="N89" s="7">
        <f t="shared" si="2"/>
        <v>832646.42559999996</v>
      </c>
    </row>
    <row r="90" spans="1:14" x14ac:dyDescent="0.3">
      <c r="A90" s="31" t="s">
        <v>147</v>
      </c>
      <c r="B90" s="31" t="s">
        <v>150</v>
      </c>
      <c r="C90" s="31" t="s">
        <v>83</v>
      </c>
      <c r="D90" s="31" t="s">
        <v>160</v>
      </c>
      <c r="E90" s="31" t="s">
        <v>117</v>
      </c>
      <c r="F90" s="31" t="s">
        <v>110</v>
      </c>
      <c r="G90" s="31" t="s">
        <v>127</v>
      </c>
      <c r="H90" s="36">
        <v>42737</v>
      </c>
      <c r="I90" s="47">
        <v>20000</v>
      </c>
      <c r="J90" s="1">
        <v>20200</v>
      </c>
      <c r="K90" s="1">
        <v>20402</v>
      </c>
      <c r="L90" s="1">
        <v>20606.02</v>
      </c>
      <c r="M90" s="1">
        <v>20812.0802</v>
      </c>
      <c r="N90" s="7">
        <f t="shared" si="2"/>
        <v>102020.1002</v>
      </c>
    </row>
    <row r="91" spans="1:14" x14ac:dyDescent="0.3">
      <c r="A91" s="31" t="s">
        <v>138</v>
      </c>
      <c r="B91" s="31" t="s">
        <v>144</v>
      </c>
      <c r="C91" s="31" t="s">
        <v>84</v>
      </c>
      <c r="D91" s="31" t="s">
        <v>159</v>
      </c>
      <c r="E91" s="31" t="s">
        <v>114</v>
      </c>
      <c r="F91" s="31" t="s">
        <v>111</v>
      </c>
      <c r="G91" s="31" t="s">
        <v>123</v>
      </c>
      <c r="H91" s="36">
        <v>42745</v>
      </c>
      <c r="I91" s="47">
        <v>10000</v>
      </c>
      <c r="J91" s="1">
        <v>10200</v>
      </c>
      <c r="K91" s="1">
        <v>10404</v>
      </c>
      <c r="L91" s="1">
        <v>10612.08</v>
      </c>
      <c r="M91" s="1">
        <v>10824.321599999999</v>
      </c>
      <c r="N91" s="7">
        <f t="shared" si="2"/>
        <v>52040.401599999997</v>
      </c>
    </row>
    <row r="92" spans="1:14" x14ac:dyDescent="0.3">
      <c r="A92" s="31" t="s">
        <v>147</v>
      </c>
      <c r="B92" s="31" t="s">
        <v>148</v>
      </c>
      <c r="C92" s="31" t="s">
        <v>85</v>
      </c>
      <c r="D92" s="31" t="s">
        <v>159</v>
      </c>
      <c r="E92" s="31" t="s">
        <v>122</v>
      </c>
      <c r="F92" s="31" t="s">
        <v>112</v>
      </c>
      <c r="G92" s="31" t="s">
        <v>125</v>
      </c>
      <c r="H92" s="36">
        <v>42759</v>
      </c>
      <c r="I92" s="47">
        <v>50000</v>
      </c>
      <c r="J92" s="1">
        <v>51000</v>
      </c>
      <c r="K92" s="1">
        <v>52020</v>
      </c>
      <c r="L92" s="1">
        <v>53060.4</v>
      </c>
      <c r="M92" s="1">
        <v>54121.608</v>
      </c>
      <c r="N92" s="7">
        <f t="shared" si="2"/>
        <v>260202.008</v>
      </c>
    </row>
    <row r="93" spans="1:14" x14ac:dyDescent="0.3">
      <c r="A93" s="31" t="s">
        <v>134</v>
      </c>
      <c r="B93" s="31" t="s">
        <v>137</v>
      </c>
      <c r="C93" s="31" t="s">
        <v>86</v>
      </c>
      <c r="D93" s="31" t="s">
        <v>159</v>
      </c>
      <c r="E93" s="31" t="s">
        <v>114</v>
      </c>
      <c r="F93" s="31" t="s">
        <v>104</v>
      </c>
      <c r="G93" s="31" t="s">
        <v>120</v>
      </c>
      <c r="H93" s="36">
        <v>42891</v>
      </c>
      <c r="I93" s="47">
        <v>110000</v>
      </c>
      <c r="J93" s="1">
        <v>112200</v>
      </c>
      <c r="K93" s="1">
        <v>114444</v>
      </c>
      <c r="L93" s="1">
        <v>116732.88</v>
      </c>
      <c r="M93" s="1">
        <v>119067.53760000001</v>
      </c>
      <c r="N93" s="7">
        <f t="shared" si="2"/>
        <v>572444.41760000004</v>
      </c>
    </row>
    <row r="94" spans="1:14" x14ac:dyDescent="0.3">
      <c r="A94" s="31" t="s">
        <v>147</v>
      </c>
      <c r="B94" s="31" t="s">
        <v>151</v>
      </c>
      <c r="C94" s="31" t="s">
        <v>87</v>
      </c>
      <c r="D94" s="31" t="s">
        <v>158</v>
      </c>
      <c r="E94" s="31" t="s">
        <v>119</v>
      </c>
      <c r="F94" s="31" t="s">
        <v>105</v>
      </c>
      <c r="G94" s="31" t="s">
        <v>123</v>
      </c>
      <c r="H94" s="36">
        <v>42783</v>
      </c>
      <c r="I94" s="47">
        <v>40000</v>
      </c>
      <c r="J94" s="1">
        <v>40800</v>
      </c>
      <c r="K94" s="1">
        <v>41616</v>
      </c>
      <c r="L94" s="1">
        <v>42448.32</v>
      </c>
      <c r="M94" s="1">
        <v>43297.286399999997</v>
      </c>
      <c r="N94" s="7">
        <f t="shared" si="2"/>
        <v>208161.60639999999</v>
      </c>
    </row>
    <row r="95" spans="1:14" x14ac:dyDescent="0.3">
      <c r="A95" s="31" t="s">
        <v>134</v>
      </c>
      <c r="B95" s="31" t="s">
        <v>130</v>
      </c>
      <c r="C95" s="31" t="s">
        <v>88</v>
      </c>
      <c r="D95" s="31" t="s">
        <v>158</v>
      </c>
      <c r="E95" s="31" t="s">
        <v>113</v>
      </c>
      <c r="F95" s="31" t="s">
        <v>107</v>
      </c>
      <c r="G95" s="31" t="s">
        <v>120</v>
      </c>
      <c r="H95" s="36">
        <v>42910</v>
      </c>
      <c r="I95" s="47">
        <v>220000</v>
      </c>
      <c r="J95" s="1">
        <v>220000</v>
      </c>
      <c r="K95" s="1">
        <v>220000</v>
      </c>
      <c r="L95" s="1">
        <v>0</v>
      </c>
      <c r="M95" s="1">
        <v>0</v>
      </c>
      <c r="N95" s="7">
        <f t="shared" si="2"/>
        <v>660000</v>
      </c>
    </row>
    <row r="96" spans="1:14" x14ac:dyDescent="0.3">
      <c r="A96" s="31" t="s">
        <v>147</v>
      </c>
      <c r="B96" s="31" t="s">
        <v>148</v>
      </c>
      <c r="C96" s="31" t="s">
        <v>89</v>
      </c>
      <c r="D96" s="31" t="s">
        <v>159</v>
      </c>
      <c r="E96" s="31" t="s">
        <v>121</v>
      </c>
      <c r="F96" s="31" t="s">
        <v>104</v>
      </c>
      <c r="G96" s="31" t="s">
        <v>123</v>
      </c>
      <c r="H96" s="36">
        <v>42901</v>
      </c>
      <c r="I96" s="47">
        <v>140000</v>
      </c>
      <c r="J96" s="1">
        <v>142800</v>
      </c>
      <c r="K96" s="1">
        <v>145656</v>
      </c>
      <c r="L96" s="1">
        <v>148569.12</v>
      </c>
      <c r="M96" s="1">
        <v>151540.5024</v>
      </c>
      <c r="N96" s="7">
        <f t="shared" si="2"/>
        <v>728565.62239999999</v>
      </c>
    </row>
    <row r="97" spans="1:14" x14ac:dyDescent="0.3">
      <c r="A97" s="31" t="s">
        <v>138</v>
      </c>
      <c r="B97" s="31" t="s">
        <v>140</v>
      </c>
      <c r="C97" s="31" t="s">
        <v>90</v>
      </c>
      <c r="D97" s="31" t="s">
        <v>158</v>
      </c>
      <c r="E97" s="31" t="s">
        <v>115</v>
      </c>
      <c r="F97" s="31" t="s">
        <v>109</v>
      </c>
      <c r="G97" s="31" t="s">
        <v>125</v>
      </c>
      <c r="H97" s="36">
        <v>42915</v>
      </c>
      <c r="I97" s="47">
        <v>180000</v>
      </c>
      <c r="J97" s="1">
        <v>185400</v>
      </c>
      <c r="K97" s="1">
        <v>190962</v>
      </c>
      <c r="L97" s="1">
        <v>196690.86000000002</v>
      </c>
      <c r="M97" s="1">
        <v>202591.58580000003</v>
      </c>
      <c r="N97" s="7">
        <f t="shared" si="2"/>
        <v>955644.44579999999</v>
      </c>
    </row>
    <row r="98" spans="1:14" x14ac:dyDescent="0.3">
      <c r="A98" s="31" t="s">
        <v>134</v>
      </c>
      <c r="B98" s="31" t="s">
        <v>136</v>
      </c>
      <c r="C98" s="31" t="s">
        <v>91</v>
      </c>
      <c r="D98" s="31" t="s">
        <v>158</v>
      </c>
      <c r="E98" s="31" t="s">
        <v>118</v>
      </c>
      <c r="F98" s="31" t="s">
        <v>105</v>
      </c>
      <c r="G98" s="31" t="s">
        <v>123</v>
      </c>
      <c r="H98" s="36">
        <v>42886</v>
      </c>
      <c r="I98" s="47">
        <v>250000</v>
      </c>
      <c r="J98" s="1">
        <v>257500</v>
      </c>
      <c r="K98" s="1">
        <v>265225</v>
      </c>
      <c r="L98" s="1">
        <v>0</v>
      </c>
      <c r="M98" s="1">
        <v>0</v>
      </c>
      <c r="N98" s="7">
        <f t="shared" si="2"/>
        <v>772725</v>
      </c>
    </row>
    <row r="99" spans="1:14" x14ac:dyDescent="0.3">
      <c r="A99" s="31" t="s">
        <v>134</v>
      </c>
      <c r="B99" s="31" t="s">
        <v>131</v>
      </c>
      <c r="C99" s="31" t="s">
        <v>92</v>
      </c>
      <c r="D99" s="31" t="s">
        <v>158</v>
      </c>
      <c r="E99" s="31" t="s">
        <v>117</v>
      </c>
      <c r="F99" s="31" t="s">
        <v>105</v>
      </c>
      <c r="G99" s="31" t="s">
        <v>123</v>
      </c>
      <c r="H99" s="36">
        <v>42752</v>
      </c>
      <c r="I99" s="47">
        <v>20000</v>
      </c>
      <c r="J99" s="1">
        <v>20600</v>
      </c>
      <c r="K99" s="1">
        <v>21218</v>
      </c>
      <c r="L99" s="1">
        <v>21854.54</v>
      </c>
      <c r="M99" s="1">
        <v>22510.176200000002</v>
      </c>
      <c r="N99" s="7">
        <f t="shared" si="2"/>
        <v>106182.71620000001</v>
      </c>
    </row>
    <row r="100" spans="1:14" x14ac:dyDescent="0.3">
      <c r="A100" s="31" t="s">
        <v>134</v>
      </c>
      <c r="B100" s="31" t="s">
        <v>135</v>
      </c>
      <c r="C100" s="31" t="s">
        <v>93</v>
      </c>
      <c r="D100" s="31" t="s">
        <v>160</v>
      </c>
      <c r="E100" s="31" t="s">
        <v>117</v>
      </c>
      <c r="F100" s="31" t="s">
        <v>105</v>
      </c>
      <c r="G100" s="31" t="s">
        <v>128</v>
      </c>
      <c r="H100" s="36">
        <v>42872</v>
      </c>
      <c r="I100" s="47">
        <v>20000</v>
      </c>
      <c r="J100" s="1">
        <v>20000</v>
      </c>
      <c r="K100" s="1">
        <v>20000</v>
      </c>
      <c r="L100" s="1">
        <v>20000</v>
      </c>
      <c r="M100" s="1">
        <v>20000</v>
      </c>
      <c r="N100" s="7">
        <f t="shared" si="2"/>
        <v>100000</v>
      </c>
    </row>
    <row r="101" spans="1:14" x14ac:dyDescent="0.3">
      <c r="A101" s="31" t="s">
        <v>138</v>
      </c>
      <c r="B101" s="31" t="s">
        <v>144</v>
      </c>
      <c r="C101" s="31" t="s">
        <v>94</v>
      </c>
      <c r="D101" s="31" t="s">
        <v>158</v>
      </c>
      <c r="E101" s="31" t="s">
        <v>118</v>
      </c>
      <c r="F101" s="31" t="s">
        <v>103</v>
      </c>
      <c r="G101" s="31" t="s">
        <v>127</v>
      </c>
      <c r="H101" s="36">
        <v>42864</v>
      </c>
      <c r="I101" s="47">
        <v>180000</v>
      </c>
      <c r="J101" s="1">
        <v>180000</v>
      </c>
      <c r="K101" s="1">
        <v>180000</v>
      </c>
      <c r="L101" s="1">
        <v>180000</v>
      </c>
      <c r="M101" s="1">
        <v>180000</v>
      </c>
      <c r="N101" s="7">
        <f t="shared" si="2"/>
        <v>900000</v>
      </c>
    </row>
    <row r="102" spans="1:14" x14ac:dyDescent="0.3">
      <c r="A102" s="31" t="s">
        <v>134</v>
      </c>
      <c r="B102" s="31" t="s">
        <v>131</v>
      </c>
      <c r="C102" s="31" t="s">
        <v>95</v>
      </c>
      <c r="D102" s="31" t="s">
        <v>159</v>
      </c>
      <c r="E102" s="31" t="s">
        <v>115</v>
      </c>
      <c r="F102" s="31" t="s">
        <v>107</v>
      </c>
      <c r="G102" s="31" t="s">
        <v>126</v>
      </c>
      <c r="H102" s="36">
        <v>42911</v>
      </c>
      <c r="I102" s="47">
        <v>240000</v>
      </c>
      <c r="J102" s="1">
        <v>244800</v>
      </c>
      <c r="K102" s="1">
        <v>249696</v>
      </c>
      <c r="L102" s="1">
        <v>254689.92000000001</v>
      </c>
      <c r="M102" s="1">
        <v>259783.71840000001</v>
      </c>
      <c r="N102" s="7">
        <f t="shared" si="2"/>
        <v>1248969.6384000001</v>
      </c>
    </row>
    <row r="103" spans="1:14" x14ac:dyDescent="0.3">
      <c r="A103" s="31" t="s">
        <v>134</v>
      </c>
      <c r="B103" s="31" t="s">
        <v>136</v>
      </c>
      <c r="C103" s="31" t="s">
        <v>96</v>
      </c>
      <c r="D103" s="31" t="s">
        <v>160</v>
      </c>
      <c r="E103" s="31" t="s">
        <v>116</v>
      </c>
      <c r="F103" s="31" t="s">
        <v>111</v>
      </c>
      <c r="G103" s="31" t="s">
        <v>125</v>
      </c>
      <c r="H103" s="36">
        <v>42793</v>
      </c>
      <c r="I103" s="47">
        <v>20000</v>
      </c>
      <c r="J103" s="1">
        <v>20400</v>
      </c>
      <c r="K103" s="1">
        <v>20808</v>
      </c>
      <c r="L103" s="1">
        <v>21224.16</v>
      </c>
      <c r="M103" s="1">
        <v>21648.643199999999</v>
      </c>
      <c r="N103" s="7">
        <f t="shared" si="2"/>
        <v>104080.80319999999</v>
      </c>
    </row>
    <row r="104" spans="1:14" x14ac:dyDescent="0.3">
      <c r="A104" s="31" t="s">
        <v>138</v>
      </c>
      <c r="B104" s="31" t="s">
        <v>146</v>
      </c>
      <c r="C104" s="31" t="s">
        <v>97</v>
      </c>
      <c r="D104" s="31" t="s">
        <v>160</v>
      </c>
      <c r="E104" s="31" t="s">
        <v>122</v>
      </c>
      <c r="F104" s="31" t="s">
        <v>105</v>
      </c>
      <c r="G104" s="31" t="s">
        <v>126</v>
      </c>
      <c r="H104" s="36">
        <v>42746</v>
      </c>
      <c r="I104" s="47">
        <v>130000</v>
      </c>
      <c r="J104" s="1">
        <v>131300</v>
      </c>
      <c r="K104" s="1">
        <v>132613</v>
      </c>
      <c r="L104" s="1">
        <v>133939.13</v>
      </c>
      <c r="M104" s="1">
        <v>135278.52129999999</v>
      </c>
      <c r="N104" s="7">
        <f t="shared" si="2"/>
        <v>663130.65130000003</v>
      </c>
    </row>
    <row r="105" spans="1:14" x14ac:dyDescent="0.3">
      <c r="A105" s="31" t="s">
        <v>138</v>
      </c>
      <c r="B105" s="31" t="s">
        <v>140</v>
      </c>
      <c r="C105" s="31" t="s">
        <v>98</v>
      </c>
      <c r="D105" s="31" t="s">
        <v>158</v>
      </c>
      <c r="E105" s="31" t="s">
        <v>120</v>
      </c>
      <c r="F105" s="31" t="s">
        <v>105</v>
      </c>
      <c r="G105" s="31" t="s">
        <v>125</v>
      </c>
      <c r="H105" s="36">
        <v>42805</v>
      </c>
      <c r="I105" s="47">
        <v>160000</v>
      </c>
      <c r="J105" s="1">
        <v>161600</v>
      </c>
      <c r="K105" s="1">
        <v>163216</v>
      </c>
      <c r="L105" s="1">
        <v>164848.16</v>
      </c>
      <c r="M105" s="1">
        <v>166496.6416</v>
      </c>
      <c r="N105" s="7">
        <f t="shared" si="2"/>
        <v>816160.80160000001</v>
      </c>
    </row>
    <row r="106" spans="1:14" x14ac:dyDescent="0.3">
      <c r="A106" s="31" t="s">
        <v>138</v>
      </c>
      <c r="B106" s="31" t="s">
        <v>143</v>
      </c>
      <c r="C106" s="31" t="s">
        <v>176</v>
      </c>
      <c r="D106" s="31" t="s">
        <v>160</v>
      </c>
      <c r="E106" s="31" t="s">
        <v>121</v>
      </c>
      <c r="F106" s="31" t="s">
        <v>103</v>
      </c>
      <c r="G106" s="31" t="s">
        <v>127</v>
      </c>
      <c r="H106" s="36">
        <v>42873</v>
      </c>
      <c r="I106" s="47">
        <v>30000</v>
      </c>
      <c r="J106" s="1">
        <v>30900</v>
      </c>
      <c r="K106" s="1">
        <v>31827</v>
      </c>
      <c r="L106" s="1">
        <v>32781.81</v>
      </c>
      <c r="M106" s="1">
        <v>33765.264299999995</v>
      </c>
      <c r="N106" s="7">
        <f t="shared" si="2"/>
        <v>159274.07429999998</v>
      </c>
    </row>
    <row r="107" spans="1:14" x14ac:dyDescent="0.3">
      <c r="A107" s="31"/>
      <c r="H107" s="36"/>
      <c r="I107" s="47"/>
      <c r="J107" s="1"/>
      <c r="K107" s="1"/>
      <c r="L107" s="1"/>
      <c r="M107" s="1"/>
      <c r="N107" s="7">
        <f>SUM(I107:M107)</f>
        <v>0</v>
      </c>
    </row>
    <row r="1048575" spans="1:9" x14ac:dyDescent="0.3">
      <c r="A1048575" s="37"/>
      <c r="B1048575" s="38"/>
      <c r="C1048575" s="38"/>
      <c r="D1048575" s="38"/>
      <c r="E1048575" s="38"/>
      <c r="F1048575" s="38"/>
      <c r="G1048575" s="38"/>
      <c r="H1048575" s="38"/>
      <c r="I1048575" s="48"/>
    </row>
  </sheetData>
  <printOptions horizontalCentered="1"/>
  <pageMargins left="0.25" right="0.25" top="0.25" bottom="0.25" header="0.3" footer="0.3"/>
  <pageSetup scale="66" fitToHeight="50" orientation="landscape" r:id="rId1"/>
  <ignoredErrors>
    <ignoredError sqref="I2:N2 N7:N14 N15:N51 N52:N63 N64:N106" formulaRange="1"/>
    <ignoredError sqref="N6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workbookViewId="0">
      <selection activeCell="F12" sqref="F12"/>
    </sheetView>
  </sheetViews>
  <sheetFormatPr defaultRowHeight="14.4" x14ac:dyDescent="0.3"/>
  <cols>
    <col min="1" max="1" width="13.5546875" customWidth="1"/>
    <col min="2" max="7" width="11.5546875" bestFit="1" customWidth="1"/>
    <col min="9" max="9" width="10.44140625" customWidth="1"/>
    <col min="10" max="15" width="11.5546875" bestFit="1" customWidth="1"/>
  </cols>
  <sheetData>
    <row r="1" spans="1:15" x14ac:dyDescent="0.3">
      <c r="A1" s="5" t="s">
        <v>174</v>
      </c>
    </row>
    <row r="3" spans="1:15" x14ac:dyDescent="0.3">
      <c r="A3" s="8" t="s">
        <v>163</v>
      </c>
    </row>
    <row r="4" spans="1:15" x14ac:dyDescent="0.3">
      <c r="A4" t="s">
        <v>185</v>
      </c>
    </row>
    <row r="5" spans="1:15" x14ac:dyDescent="0.3">
      <c r="A5" t="s">
        <v>187</v>
      </c>
    </row>
    <row r="8" spans="1:15" x14ac:dyDescent="0.3">
      <c r="A8" s="3" t="s">
        <v>101</v>
      </c>
      <c r="B8" s="2">
        <v>2017</v>
      </c>
      <c r="C8" s="2">
        <v>2018</v>
      </c>
      <c r="D8" s="2">
        <v>2019</v>
      </c>
      <c r="E8" s="2">
        <v>2020</v>
      </c>
      <c r="F8" s="2">
        <v>2021</v>
      </c>
      <c r="G8" s="12" t="s">
        <v>177</v>
      </c>
      <c r="I8" s="3" t="s">
        <v>102</v>
      </c>
      <c r="J8" s="2">
        <v>2017</v>
      </c>
      <c r="K8" s="2">
        <v>2018</v>
      </c>
      <c r="L8" s="2">
        <v>2019</v>
      </c>
      <c r="M8" s="2">
        <v>2020</v>
      </c>
      <c r="N8" s="2">
        <v>2021</v>
      </c>
      <c r="O8" s="12" t="s">
        <v>177</v>
      </c>
    </row>
    <row r="9" spans="1:15" ht="13.8" customHeight="1" x14ac:dyDescent="0.3">
      <c r="G9" s="13"/>
      <c r="O9" s="13"/>
    </row>
    <row r="10" spans="1:15" x14ac:dyDescent="0.3">
      <c r="A10" t="s">
        <v>113</v>
      </c>
      <c r="B10" s="1">
        <f>SUMIF('Deal Detail'!E:E, "Adam G", 'Deal Detail'!I:I)</f>
        <v>700000</v>
      </c>
      <c r="C10" s="1">
        <f>SUMIF('Deal Detail'!E:E, "Adam G", 'Deal Detail'!J:J)</f>
        <v>705100</v>
      </c>
      <c r="D10" s="1">
        <f>SUMIF('Deal Detail'!E:E, "Adam G", 'Deal Detail'!K:K)</f>
        <v>710301</v>
      </c>
      <c r="E10" s="1">
        <f>SUMIF('Deal Detail'!E:E, "Adam G", 'Deal Detail'!L:L)</f>
        <v>495605.49</v>
      </c>
      <c r="F10" s="1">
        <f>SUMIF('Deal Detail'!E:E, "Adam G", 'Deal Detail'!M:M)</f>
        <v>501016.02889999998</v>
      </c>
      <c r="G10" s="11">
        <f t="shared" ref="G10:G20" si="0">SUM(B10:F10)</f>
        <v>3112022.5189</v>
      </c>
      <c r="I10" t="s">
        <v>103</v>
      </c>
      <c r="J10" s="1">
        <f>SUMIF('Deal Detail'!F:F, "Bridgette", 'Deal Detail'!I:I)</f>
        <v>770000</v>
      </c>
      <c r="K10" s="1">
        <f>SUMIF('Deal Detail'!F:F, "Bridgette", 'Deal Detail'!J:J)</f>
        <v>776900</v>
      </c>
      <c r="L10" s="1">
        <f>SUMIF('Deal Detail'!F:F, "Bridgette", 'Deal Detail'!K:K)</f>
        <v>783947</v>
      </c>
      <c r="M10" s="1">
        <f>SUMIF('Deal Detail'!F:F, "Bridgette", 'Deal Detail'!L:L)</f>
        <v>791144.21</v>
      </c>
      <c r="N10" s="1">
        <f>SUMIF('Deal Detail'!F:F, "Bridgette", 'Deal Detail'!M:M)</f>
        <v>798494.91230000008</v>
      </c>
      <c r="O10" s="11">
        <f t="shared" ref="O10:O20" si="1">SUM(J10:N10)</f>
        <v>3920486.1222999999</v>
      </c>
    </row>
    <row r="11" spans="1:15" x14ac:dyDescent="0.3">
      <c r="A11" t="s">
        <v>114</v>
      </c>
      <c r="B11" s="1">
        <f>SUMIF('Deal Detail'!E:E, "Ali", 'Deal Detail'!I:I)</f>
        <v>650000</v>
      </c>
      <c r="C11" s="1">
        <f>SUMIF('Deal Detail'!E:E, "Ali", 'Deal Detail'!J:J)</f>
        <v>659200</v>
      </c>
      <c r="D11" s="1">
        <f>SUMIF('Deal Detail'!E:E, "Ali", 'Deal Detail'!K:K)</f>
        <v>668584</v>
      </c>
      <c r="E11" s="1">
        <f>SUMIF('Deal Detail'!E:E, "Ali", 'Deal Detail'!L:L)</f>
        <v>678155.67999999993</v>
      </c>
      <c r="F11" s="1">
        <f>SUMIF('Deal Detail'!E:E, "Ali", 'Deal Detail'!M:M)</f>
        <v>687918.79360000009</v>
      </c>
      <c r="G11" s="11">
        <f t="shared" si="0"/>
        <v>3343858.4735999997</v>
      </c>
      <c r="I11" t="s">
        <v>104</v>
      </c>
      <c r="J11" s="1">
        <f>SUMIF('Deal Detail'!F:F, "Eric", 'Deal Detail'!I:I)</f>
        <v>1480000</v>
      </c>
      <c r="K11" s="1">
        <f>SUMIF('Deal Detail'!F:F, "Eric", 'Deal Detail'!J:J)</f>
        <v>1500200</v>
      </c>
      <c r="L11" s="1">
        <f>SUMIF('Deal Detail'!F:F, "Eric", 'Deal Detail'!K:K)</f>
        <v>1520804</v>
      </c>
      <c r="M11" s="1">
        <f>SUMIF('Deal Detail'!F:F, "Eric", 'Deal Detail'!L:L)</f>
        <v>1109095.04</v>
      </c>
      <c r="N11" s="1">
        <f>SUMIF('Deal Detail'!F:F, "Eric", 'Deal Detail'!M:M)</f>
        <v>1126208.4002</v>
      </c>
      <c r="O11" s="11">
        <f t="shared" si="1"/>
        <v>6736307.4402000001</v>
      </c>
    </row>
    <row r="12" spans="1:15" x14ac:dyDescent="0.3">
      <c r="A12" t="s">
        <v>115</v>
      </c>
      <c r="B12" s="1">
        <f>SUMIF('Deal Detail'!E:E, "Amie K", 'Deal Detail'!I:I)</f>
        <v>1290000</v>
      </c>
      <c r="C12" s="1">
        <f>SUMIF('Deal Detail'!E:E, "Amie K", 'Deal Detail'!J:J)</f>
        <v>1174300</v>
      </c>
      <c r="D12" s="1">
        <f>SUMIF('Deal Detail'!E:E, "Amie K", 'Deal Detail'!K:K)</f>
        <v>1188925</v>
      </c>
      <c r="E12" s="1">
        <f>SUMIF('Deal Detail'!E:E, "Amie K", 'Deal Detail'!L:L)</f>
        <v>1203883.0900000001</v>
      </c>
      <c r="F12" s="1">
        <f>SUMIF('Deal Detail'!E:E, "Amie K", 'Deal Detail'!M:M)</f>
        <v>1219182.5737000001</v>
      </c>
      <c r="G12" s="11">
        <f t="shared" si="0"/>
        <v>6076290.6636999995</v>
      </c>
      <c r="I12" t="s">
        <v>105</v>
      </c>
      <c r="J12" s="1">
        <f>SUMIF('Deal Detail'!F:F, "Jay", 'Deal Detail'!I:I)</f>
        <v>1290000</v>
      </c>
      <c r="K12" s="1">
        <f>SUMIF('Deal Detail'!F:F, "Jay", 'Deal Detail'!J:J)</f>
        <v>1311600</v>
      </c>
      <c r="L12" s="1">
        <f>SUMIF('Deal Detail'!F:F, "Jay", 'Deal Detail'!K:K)</f>
        <v>1333686</v>
      </c>
      <c r="M12" s="1">
        <f>SUMIF('Deal Detail'!F:F, "Jay", 'Deal Detail'!L:L)</f>
        <v>1083088.67</v>
      </c>
      <c r="N12" s="1">
        <f>SUMIF('Deal Detail'!F:F, "Jay", 'Deal Detail'!M:M)</f>
        <v>1097988.8177</v>
      </c>
      <c r="O12" s="11">
        <f t="shared" si="1"/>
        <v>6116363.4877000004</v>
      </c>
    </row>
    <row r="13" spans="1:15" x14ac:dyDescent="0.3">
      <c r="A13" t="s">
        <v>116</v>
      </c>
      <c r="B13" s="1">
        <f>SUMIF('Deal Detail'!E:E, "Ber-tia", 'Deal Detail'!I:I)</f>
        <v>1400000</v>
      </c>
      <c r="C13" s="1">
        <f>SUMIF('Deal Detail'!E:E, "Ber-tia", 'Deal Detail'!J:J)</f>
        <v>1423400</v>
      </c>
      <c r="D13" s="1">
        <f>SUMIF('Deal Detail'!E:E, "Ber-tia", 'Deal Detail'!K:K)</f>
        <v>1187258</v>
      </c>
      <c r="E13" s="1">
        <f>SUMIF('Deal Detail'!E:E, "Ber-tia", 'Deal Detail'!L:L)</f>
        <v>979920.12</v>
      </c>
      <c r="F13" s="1">
        <f>SUMIF('Deal Detail'!E:E, "Ber-tia", 'Deal Detail'!M:M)</f>
        <v>997464.82480000006</v>
      </c>
      <c r="G13" s="11">
        <f t="shared" si="0"/>
        <v>5988042.9448000006</v>
      </c>
      <c r="I13" t="s">
        <v>106</v>
      </c>
      <c r="J13" s="1">
        <f>SUMIF('Deal Detail'!F:F, "Joe", 'Deal Detail'!I:I)</f>
        <v>910000</v>
      </c>
      <c r="K13" s="1">
        <f>SUMIF('Deal Detail'!F:F, "Joe", 'Deal Detail'!J:J)</f>
        <v>926500</v>
      </c>
      <c r="L13" s="1">
        <f>SUMIF('Deal Detail'!F:F, "Joe", 'Deal Detail'!K:K)</f>
        <v>943403</v>
      </c>
      <c r="M13" s="1">
        <f>SUMIF('Deal Detail'!F:F, "Joe", 'Deal Detail'!L:L)</f>
        <v>960719.71</v>
      </c>
      <c r="N13" s="1">
        <f>SUMIF('Deal Detail'!F:F, "Joe", 'Deal Detail'!M:M)</f>
        <v>479406.14169999998</v>
      </c>
      <c r="O13" s="11">
        <f t="shared" si="1"/>
        <v>4220028.8516999995</v>
      </c>
    </row>
    <row r="14" spans="1:15" x14ac:dyDescent="0.3">
      <c r="A14" t="s">
        <v>117</v>
      </c>
      <c r="B14" s="1">
        <f>SUMIF('Deal Detail'!E:E, "Brian", 'Deal Detail'!I:I)</f>
        <v>1870000</v>
      </c>
      <c r="C14" s="1">
        <f>SUMIF('Deal Detail'!E:E, "Brian", 'Deal Detail'!J:J)</f>
        <v>1896700</v>
      </c>
      <c r="D14" s="1">
        <f>SUMIF('Deal Detail'!E:E, "Brian", 'Deal Detail'!K:K)</f>
        <v>1924069</v>
      </c>
      <c r="E14" s="1">
        <f>SUMIF('Deal Detail'!E:E, "Brian", 'Deal Detail'!L:L)</f>
        <v>1746065.1900000004</v>
      </c>
      <c r="F14" s="1">
        <f>SUMIF('Deal Detail'!E:E, "Brian", 'Deal Detail'!M:M)</f>
        <v>1273900.2594000001</v>
      </c>
      <c r="G14" s="11">
        <f t="shared" si="0"/>
        <v>8710734.4494000003</v>
      </c>
      <c r="I14" t="s">
        <v>107</v>
      </c>
      <c r="J14" s="1">
        <f>SUMIF('Deal Detail'!F:F, "Nicole", 'Deal Detail'!I:I)</f>
        <v>1580000</v>
      </c>
      <c r="K14" s="1">
        <f>SUMIF('Deal Detail'!F:F, "Nicole", 'Deal Detail'!J:J)</f>
        <v>1446000</v>
      </c>
      <c r="L14" s="1">
        <f>SUMIF('Deal Detail'!F:F, "Nicole", 'Deal Detail'!K:K)</f>
        <v>1462362</v>
      </c>
      <c r="M14" s="1">
        <f>SUMIF('Deal Detail'!F:F, "Nicole", 'Deal Detail'!L:L)</f>
        <v>1259094.56</v>
      </c>
      <c r="N14" s="1">
        <f>SUMIF('Deal Detail'!F:F, "Nicole", 'Deal Detail'!M:M)</f>
        <v>1276206.4514000001</v>
      </c>
      <c r="O14" s="11">
        <f t="shared" si="1"/>
        <v>7023663.0114000011</v>
      </c>
    </row>
    <row r="15" spans="1:15" x14ac:dyDescent="0.3">
      <c r="A15" t="s">
        <v>118</v>
      </c>
      <c r="B15" s="1">
        <f>SUMIF('Deal Detail'!E:E, "Christina M", 'Deal Detail'!I:I)</f>
        <v>1830000</v>
      </c>
      <c r="C15" s="1">
        <f>SUMIF('Deal Detail'!E:E, "Christina M", 'Deal Detail'!J:J)</f>
        <v>1850800</v>
      </c>
      <c r="D15" s="1">
        <f>SUMIF('Deal Detail'!E:E, "Christina M", 'Deal Detail'!K:K)</f>
        <v>1872154</v>
      </c>
      <c r="E15" s="1">
        <f>SUMIF('Deal Detail'!E:E, "Christina M", 'Deal Detail'!L:L)</f>
        <v>1440895.9500000002</v>
      </c>
      <c r="F15" s="1">
        <f>SUMIF('Deal Detail'!E:E, "Christina M", 'Deal Detail'!M:M)</f>
        <v>1455210.0548999999</v>
      </c>
      <c r="G15" s="11">
        <f t="shared" si="0"/>
        <v>8449060.004900001</v>
      </c>
      <c r="I15" t="s">
        <v>108</v>
      </c>
      <c r="J15" s="1">
        <f>SUMIF('Deal Detail'!F:F, "Noah", 'Deal Detail'!I:I)</f>
        <v>630000</v>
      </c>
      <c r="K15" s="1">
        <f>SUMIF('Deal Detail'!F:F, "Noah", 'Deal Detail'!J:J)</f>
        <v>644400</v>
      </c>
      <c r="L15" s="1">
        <f>SUMIF('Deal Detail'!F:F, "Noah", 'Deal Detail'!K:K)</f>
        <v>659142</v>
      </c>
      <c r="M15" s="1">
        <f>SUMIF('Deal Detail'!F:F, "Noah", 'Deal Detail'!L:L)</f>
        <v>674234.46</v>
      </c>
      <c r="N15" s="1">
        <f>SUMIF('Deal Detail'!F:F, "Noah", 'Deal Detail'!M:M)</f>
        <v>689686.05780000007</v>
      </c>
      <c r="O15" s="11">
        <f t="shared" si="1"/>
        <v>3297462.5178</v>
      </c>
    </row>
    <row r="16" spans="1:15" x14ac:dyDescent="0.3">
      <c r="A16" t="s">
        <v>119</v>
      </c>
      <c r="B16" s="1">
        <f>SUMIF('Deal Detail'!E:E, "Colin", 'Deal Detail'!I:I)</f>
        <v>800000</v>
      </c>
      <c r="C16" s="1">
        <f>SUMIF('Deal Detail'!E:E, "Colin", 'Deal Detail'!J:J)</f>
        <v>656700</v>
      </c>
      <c r="D16" s="1">
        <f>SUMIF('Deal Detail'!E:E, "Colin", 'Deal Detail'!K:K)</f>
        <v>663525</v>
      </c>
      <c r="E16" s="1">
        <f>SUMIF('Deal Detail'!E:E, "Colin", 'Deal Detail'!L:L)</f>
        <v>670477.7699999999</v>
      </c>
      <c r="F16" s="1">
        <f>SUMIF('Deal Detail'!E:E, "Colin", 'Deal Detail'!M:M)</f>
        <v>677561.14889999991</v>
      </c>
      <c r="G16" s="11">
        <f t="shared" si="0"/>
        <v>3468263.9188999999</v>
      </c>
      <c r="I16" t="s">
        <v>109</v>
      </c>
      <c r="J16" s="1">
        <f>SUMIF('Deal Detail'!F:F, "Pamela", 'Deal Detail'!I:I)</f>
        <v>1430000</v>
      </c>
      <c r="K16" s="1">
        <f>SUMIF('Deal Detail'!F:F, "Pamela", 'Deal Detail'!J:J)</f>
        <v>1449800</v>
      </c>
      <c r="L16" s="1">
        <f>SUMIF('Deal Detail'!F:F, "Pamela", 'Deal Detail'!K:K)</f>
        <v>1470104</v>
      </c>
      <c r="M16" s="1">
        <f>SUMIF('Deal Detail'!F:F, "Pamela", 'Deal Detail'!L:L)</f>
        <v>1092380.3400000001</v>
      </c>
      <c r="N16" s="1">
        <f>SUMIF('Deal Detail'!F:F, "Pamela", 'Deal Detail'!M:M)</f>
        <v>1107177.5868000002</v>
      </c>
      <c r="O16" s="11">
        <f t="shared" si="1"/>
        <v>6549461.9267999995</v>
      </c>
    </row>
    <row r="17" spans="1:15" x14ac:dyDescent="0.3">
      <c r="A17" t="s">
        <v>120</v>
      </c>
      <c r="B17" s="1">
        <f>SUMIF('Deal Detail'!E:E, "Corey", 'Deal Detail'!I:I)</f>
        <v>1530000</v>
      </c>
      <c r="C17" s="1">
        <f>SUMIF('Deal Detail'!E:E, "Corey", 'Deal Detail'!J:J)</f>
        <v>1401000</v>
      </c>
      <c r="D17" s="1">
        <f>SUMIF('Deal Detail'!E:E, "Corey", 'Deal Detail'!K:K)</f>
        <v>1422464</v>
      </c>
      <c r="E17" s="1">
        <f>SUMIF('Deal Detail'!E:E, "Corey", 'Deal Detail'!L:L)</f>
        <v>1225857.5799999998</v>
      </c>
      <c r="F17" s="1">
        <f>SUMIF('Deal Detail'!E:E, "Corey", 'Deal Detail'!M:M)</f>
        <v>1241726.4324</v>
      </c>
      <c r="G17" s="11">
        <f t="shared" si="0"/>
        <v>6821048.0124000004</v>
      </c>
      <c r="I17" t="s">
        <v>110</v>
      </c>
      <c r="J17" s="1">
        <f>SUMIF('Deal Detail'!F:F, "Phil", 'Deal Detail'!I:I)</f>
        <v>1830000</v>
      </c>
      <c r="K17" s="1">
        <f>SUMIF('Deal Detail'!F:F, "Phil", 'Deal Detail'!J:J)</f>
        <v>1701800</v>
      </c>
      <c r="L17" s="1">
        <f>SUMIF('Deal Detail'!F:F, "Phil", 'Deal Detail'!K:K)</f>
        <v>1724106</v>
      </c>
      <c r="M17" s="1">
        <f>SUMIF('Deal Detail'!F:F, "Phil", 'Deal Detail'!L:L)</f>
        <v>1746930.8</v>
      </c>
      <c r="N17" s="1">
        <f>SUMIF('Deal Detail'!F:F, "Phil", 'Deal Detail'!M:M)</f>
        <v>1770287.5422</v>
      </c>
      <c r="O17" s="11">
        <f t="shared" si="1"/>
        <v>8773124.3421999998</v>
      </c>
    </row>
    <row r="18" spans="1:15" x14ac:dyDescent="0.3">
      <c r="A18" t="s">
        <v>121</v>
      </c>
      <c r="B18" s="1">
        <f>SUMIF('Deal Detail'!E:E, "Dawn", 'Deal Detail'!I:I)</f>
        <v>1040000</v>
      </c>
      <c r="C18" s="1">
        <f>SUMIF('Deal Detail'!E:E, "Dawn", 'Deal Detail'!J:J)</f>
        <v>1062200</v>
      </c>
      <c r="D18" s="1">
        <f>SUMIF('Deal Detail'!E:E, "Dawn", 'Deal Detail'!K:K)</f>
        <v>1084950</v>
      </c>
      <c r="E18" s="1">
        <f>SUMIF('Deal Detail'!E:E, "Dawn", 'Deal Detail'!L:L)</f>
        <v>1108264.2200000002</v>
      </c>
      <c r="F18" s="1">
        <f>SUMIF('Deal Detail'!E:E, "Dawn", 'Deal Detail'!M:M)</f>
        <v>1132157.2614000002</v>
      </c>
      <c r="G18" s="11">
        <f t="shared" si="0"/>
        <v>5427571.4814000009</v>
      </c>
      <c r="I18" t="s">
        <v>111</v>
      </c>
      <c r="J18" s="1">
        <f>SUMIF('Deal Detail'!F:F, "Rebecca", 'Deal Detail'!I:I)</f>
        <v>1510000</v>
      </c>
      <c r="K18" s="1">
        <f>SUMIF('Deal Detail'!F:F, "Rebecca", 'Deal Detail'!J:J)</f>
        <v>1532100</v>
      </c>
      <c r="L18" s="1">
        <f>SUMIF('Deal Detail'!F:F, "Rebecca", 'Deal Detail'!K:K)</f>
        <v>1554755</v>
      </c>
      <c r="M18" s="1">
        <f>SUMIF('Deal Detail'!F:F, "Rebecca", 'Deal Detail'!L:L)</f>
        <v>1577980.2899999998</v>
      </c>
      <c r="N18" s="1">
        <f>SUMIF('Deal Detail'!F:F, "Rebecca", 'Deal Detail'!M:M)</f>
        <v>1342924.5732</v>
      </c>
      <c r="O18" s="11">
        <f t="shared" si="1"/>
        <v>7517759.8631999996</v>
      </c>
    </row>
    <row r="19" spans="1:15" ht="16.2" x14ac:dyDescent="0.45">
      <c r="A19" t="s">
        <v>122</v>
      </c>
      <c r="B19" s="1">
        <f>SUMIF('Deal Detail'!E:E, "Dilson", 'Deal Detail'!I:I)</f>
        <v>1280000</v>
      </c>
      <c r="C19" s="1">
        <f>SUMIF('Deal Detail'!E:E, "Dilson", 'Deal Detail'!J:J)</f>
        <v>1304600</v>
      </c>
      <c r="D19" s="1">
        <f>SUMIF('Deal Detail'!E:E, "Dilson", 'Deal Detail'!K:K)</f>
        <v>1329760</v>
      </c>
      <c r="E19" s="1">
        <f>SUMIF('Deal Detail'!E:E, "Dilson", 'Deal Detail'!L:L)</f>
        <v>1355494.2199999997</v>
      </c>
      <c r="F19" s="1">
        <f>SUMIF('Deal Detail'!E:E, "Dilson", 'Deal Detail'!M:M)</f>
        <v>882762.26820000017</v>
      </c>
      <c r="G19" s="14">
        <f t="shared" si="0"/>
        <v>6152616.4881999996</v>
      </c>
      <c r="I19" t="s">
        <v>112</v>
      </c>
      <c r="J19" s="1">
        <f>SUMIF('Deal Detail'!F:F, "Sarah", 'Deal Detail'!I:I)</f>
        <v>960000</v>
      </c>
      <c r="K19" s="1">
        <f>SUMIF('Deal Detail'!F:F, "Sarah", 'Deal Detail'!J:J)</f>
        <v>844700</v>
      </c>
      <c r="L19" s="1">
        <f>SUMIF('Deal Detail'!F:F, "Sarah", 'Deal Detail'!K:K)</f>
        <v>599681</v>
      </c>
      <c r="M19" s="1">
        <f>SUMIF('Deal Detail'!F:F, "Sarah", 'Deal Detail'!L:L)</f>
        <v>609951.2300000001</v>
      </c>
      <c r="N19" s="1">
        <f>SUMIF('Deal Detail'!F:F, "Sarah", 'Deal Detail'!M:M)</f>
        <v>380519.16290000005</v>
      </c>
      <c r="O19" s="14">
        <f t="shared" si="1"/>
        <v>3394851.3928999999</v>
      </c>
    </row>
    <row r="20" spans="1:15" s="3" customFormat="1" x14ac:dyDescent="0.3">
      <c r="A20" s="3" t="s">
        <v>164</v>
      </c>
      <c r="B20" s="10">
        <f>SUM(B10:B19)</f>
        <v>12390000</v>
      </c>
      <c r="C20" s="10">
        <f>SUM(C10:C19)</f>
        <v>12134000</v>
      </c>
      <c r="D20" s="10">
        <f>SUM(D10:D19)</f>
        <v>12051990</v>
      </c>
      <c r="E20" s="10">
        <f>SUM(E10:E19)</f>
        <v>10904619.309999999</v>
      </c>
      <c r="F20" s="10">
        <f>SUM(F10:F19)</f>
        <v>10068899.646200001</v>
      </c>
      <c r="G20" s="11">
        <f t="shared" si="0"/>
        <v>57549508.956200004</v>
      </c>
      <c r="I20" s="3" t="s">
        <v>164</v>
      </c>
      <c r="J20" s="10">
        <f>SUM(J10:J19)</f>
        <v>12390000</v>
      </c>
      <c r="K20" s="10">
        <f>SUM(K10:K19)</f>
        <v>12134000</v>
      </c>
      <c r="L20" s="10">
        <f>SUM(L10:L19)</f>
        <v>12051990</v>
      </c>
      <c r="M20" s="10">
        <f>SUM(M10:M19)</f>
        <v>10904619.309999999</v>
      </c>
      <c r="N20" s="10">
        <f>SUM(N10:N19)</f>
        <v>10068899.646200001</v>
      </c>
      <c r="O20" s="11">
        <f t="shared" si="1"/>
        <v>57549508.956200004</v>
      </c>
    </row>
    <row r="21" spans="1:15" x14ac:dyDescent="0.3">
      <c r="G21" s="29"/>
    </row>
    <row r="23" spans="1:15" x14ac:dyDescent="0.3">
      <c r="A23" s="3" t="s">
        <v>156</v>
      </c>
    </row>
    <row r="24" spans="1:15" x14ac:dyDescent="0.3">
      <c r="A24" s="3" t="s">
        <v>157</v>
      </c>
      <c r="B24" s="2">
        <v>2017</v>
      </c>
      <c r="C24" s="2">
        <v>2018</v>
      </c>
      <c r="D24" s="2">
        <v>2019</v>
      </c>
      <c r="E24" s="2">
        <v>2020</v>
      </c>
      <c r="F24" s="2">
        <v>2021</v>
      </c>
      <c r="G24" s="12" t="s">
        <v>177</v>
      </c>
    </row>
    <row r="25" spans="1:15" ht="8.1" customHeight="1" x14ac:dyDescent="0.3">
      <c r="G25" s="13"/>
    </row>
    <row r="26" spans="1:15" x14ac:dyDescent="0.3">
      <c r="A26" t="s">
        <v>123</v>
      </c>
      <c r="B26" s="1">
        <f>SUMIF('Deal Detail'!G:G, "Colin/Perry", 'Deal Detail'!I:I)</f>
        <v>1830000</v>
      </c>
      <c r="C26" s="1">
        <f>SUMIF('Deal Detail'!G:G, "Colin/Perry", 'Deal Detail'!J:J)</f>
        <v>1583600</v>
      </c>
      <c r="D26" s="1">
        <f>SUMIF('Deal Detail'!G:G, "Colin/Perry", 'Deal Detail'!K:K)</f>
        <v>1618052</v>
      </c>
      <c r="E26" s="1">
        <f>SUMIF('Deal Detail'!G:G, "Colin/Perry", 'Deal Detail'!L:L)</f>
        <v>1153531.3700000001</v>
      </c>
      <c r="F26" s="1">
        <f>SUMIF('Deal Detail'!G:G, "Colin/Perry", 'Deal Detail'!M:M)</f>
        <v>920428.91379999998</v>
      </c>
      <c r="G26" s="11">
        <f t="shared" ref="G26:G33" si="2">SUM(B26:F26)</f>
        <v>7105612.2838000003</v>
      </c>
    </row>
    <row r="27" spans="1:15" x14ac:dyDescent="0.3">
      <c r="A27" t="s">
        <v>120</v>
      </c>
      <c r="B27" s="1">
        <f>SUMIF('Deal Detail'!G:G, "Corey", 'Deal Detail'!I:I)</f>
        <v>800000</v>
      </c>
      <c r="C27" s="1">
        <f>SUMIF('Deal Detail'!G:G, "Corey", 'Deal Detail'!J:J)</f>
        <v>814000</v>
      </c>
      <c r="D27" s="1">
        <f>SUMIF('Deal Detail'!G:G, "Corey", 'Deal Detail'!K:K)</f>
        <v>828380</v>
      </c>
      <c r="E27" s="1">
        <f>SUMIF('Deal Detail'!G:G, "Corey", 'Deal Detail'!L:L)</f>
        <v>623150.64000000013</v>
      </c>
      <c r="F27" s="1">
        <f>SUMIF('Deal Detail'!G:G, "Corey", 'Deal Detail'!M:M)</f>
        <v>638322.86440000008</v>
      </c>
      <c r="G27" s="11">
        <f t="shared" si="2"/>
        <v>3703853.5044</v>
      </c>
    </row>
    <row r="28" spans="1:15" x14ac:dyDescent="0.3">
      <c r="A28" t="s">
        <v>124</v>
      </c>
      <c r="B28" s="1">
        <f>SUMIF('Deal Detail'!G:G, "Jamie", 'Deal Detail'!I:I)</f>
        <v>1330000</v>
      </c>
      <c r="C28" s="1">
        <f>SUMIF('Deal Detail'!G:G, "Jamie", 'Deal Detail'!J:J)</f>
        <v>1202500</v>
      </c>
      <c r="D28" s="1">
        <f>SUMIF('Deal Detail'!G:G, "Jamie", 'Deal Detail'!K:K)</f>
        <v>1225489</v>
      </c>
      <c r="E28" s="1">
        <f>SUMIF('Deal Detail'!G:G, "Jamie", 'Deal Detail'!L:L)</f>
        <v>1248977.95</v>
      </c>
      <c r="F28" s="1">
        <f>SUMIF('Deal Detail'!G:G, "Jamie", 'Deal Detail'!M:M)</f>
        <v>1272978.0541000001</v>
      </c>
      <c r="G28" s="11">
        <f t="shared" si="2"/>
        <v>6279945.0041000005</v>
      </c>
    </row>
    <row r="29" spans="1:15" x14ac:dyDescent="0.3">
      <c r="A29" t="s">
        <v>125</v>
      </c>
      <c r="B29" s="1">
        <f>SUMIF('Deal Detail'!G:G, "John E", 'Deal Detail'!I:I)</f>
        <v>2010000</v>
      </c>
      <c r="C29" s="1">
        <f>SUMIF('Deal Detail'!G:G, "John E", 'Deal Detail'!J:J)</f>
        <v>2040600</v>
      </c>
      <c r="D29" s="1">
        <f>SUMIF('Deal Detail'!G:G, "John E", 'Deal Detail'!K:K)</f>
        <v>2071982</v>
      </c>
      <c r="E29" s="1">
        <f>SUMIF('Deal Detail'!G:G, "John E", 'Deal Detail'!L:L)</f>
        <v>1885621.96</v>
      </c>
      <c r="F29" s="1">
        <f>SUMIF('Deal Detail'!G:G, "John E", 'Deal Detail'!M:M)</f>
        <v>1672076.2830000001</v>
      </c>
      <c r="G29" s="11">
        <f t="shared" si="2"/>
        <v>9680280.2430000007</v>
      </c>
    </row>
    <row r="30" spans="1:15" x14ac:dyDescent="0.3">
      <c r="A30" t="s">
        <v>126</v>
      </c>
      <c r="B30" s="1">
        <f>SUMIF('Deal Detail'!G:G, "Julie/Ken", 'Deal Detail'!I:I)</f>
        <v>2090000</v>
      </c>
      <c r="C30" s="1">
        <f>SUMIF('Deal Detail'!G:G, "Julie/Ken", 'Deal Detail'!J:J)</f>
        <v>2114900</v>
      </c>
      <c r="D30" s="1">
        <f>SUMIF('Deal Detail'!G:G, "Julie/Ken", 'Deal Detail'!K:K)</f>
        <v>2140313</v>
      </c>
      <c r="E30" s="1">
        <f>SUMIF('Deal Detail'!G:G, "Julie/Ken", 'Deal Detail'!L:L)</f>
        <v>2166251.21</v>
      </c>
      <c r="F30" s="1">
        <f>SUMIF('Deal Detail'!G:G, "Julie/Ken", 'Deal Detail'!M:M)</f>
        <v>2192727.1576999999</v>
      </c>
      <c r="G30" s="11">
        <f t="shared" si="2"/>
        <v>10704191.367700001</v>
      </c>
    </row>
    <row r="31" spans="1:15" x14ac:dyDescent="0.3">
      <c r="A31" t="s">
        <v>127</v>
      </c>
      <c r="B31" s="1">
        <f>SUMIF('Deal Detail'!G:G, "Nick/Jarrod", 'Deal Detail'!I:I)</f>
        <v>2320000</v>
      </c>
      <c r="C31" s="1">
        <f>SUMIF('Deal Detail'!G:G, "Nick/Jarrod", 'Deal Detail'!J:J)</f>
        <v>2342200</v>
      </c>
      <c r="D31" s="1">
        <f>SUMIF('Deal Detail'!G:G, "Nick/Jarrod", 'Deal Detail'!K:K)</f>
        <v>2364842</v>
      </c>
      <c r="E31" s="1">
        <f>SUMIF('Deal Detail'!G:G, "Nick/Jarrod", 'Deal Detail'!L:L)</f>
        <v>2001876.2400000002</v>
      </c>
      <c r="F31" s="1">
        <f>SUMIF('Deal Detail'!G:G, "Nick/Jarrod", 'Deal Detail'!M:M)</f>
        <v>1524318.2348</v>
      </c>
      <c r="G31" s="11">
        <f t="shared" si="2"/>
        <v>10553236.4748</v>
      </c>
    </row>
    <row r="32" spans="1:15" ht="16.2" x14ac:dyDescent="0.45">
      <c r="A32" t="s">
        <v>128</v>
      </c>
      <c r="B32" s="1">
        <f>SUMIF('Deal Detail'!G:G, "Vinny", 'Deal Detail'!I:I)</f>
        <v>2010000</v>
      </c>
      <c r="C32" s="1">
        <f>SUMIF('Deal Detail'!G:G, "Vinny", 'Deal Detail'!J:J)</f>
        <v>2036200</v>
      </c>
      <c r="D32" s="1">
        <f>SUMIF('Deal Detail'!G:G, "Vinny", 'Deal Detail'!K:K)</f>
        <v>1802932</v>
      </c>
      <c r="E32" s="1">
        <f>SUMIF('Deal Detail'!G:G, "Vinny", 'Deal Detail'!L:L)</f>
        <v>1825209.9400000004</v>
      </c>
      <c r="F32" s="1">
        <f>SUMIF('Deal Detail'!G:G, "Vinny", 'Deal Detail'!M:M)</f>
        <v>1848048.1384000001</v>
      </c>
      <c r="G32" s="14">
        <f t="shared" si="2"/>
        <v>9522390.0784000009</v>
      </c>
    </row>
    <row r="33" spans="1:7" x14ac:dyDescent="0.3">
      <c r="A33" s="3" t="s">
        <v>164</v>
      </c>
      <c r="B33" s="10">
        <f>SUM(B26:B32)</f>
        <v>12390000</v>
      </c>
      <c r="C33" s="10">
        <f>SUM(C26:C32)</f>
        <v>12134000</v>
      </c>
      <c r="D33" s="10">
        <f>SUM(D26:D32)</f>
        <v>12051990</v>
      </c>
      <c r="E33" s="10">
        <f>SUM(E26:E32)</f>
        <v>10904619.310000002</v>
      </c>
      <c r="F33" s="10">
        <f>SUM(F26:F32)</f>
        <v>10068899.646199999</v>
      </c>
      <c r="G33" s="11">
        <f t="shared" si="2"/>
        <v>57549508.956200004</v>
      </c>
    </row>
  </sheetData>
  <conditionalFormatting sqref="B10:F19">
    <cfRule type="containsBlanks" dxfId="4" priority="21">
      <formula>LEN(TRIM(B10))=0</formula>
    </cfRule>
  </conditionalFormatting>
  <conditionalFormatting sqref="B26:F26 C27:F28 B27:B32 C28:C32 D29:F32">
    <cfRule type="containsBlanks" dxfId="3" priority="1">
      <formula>LEN(TRIM(B26))=0</formula>
    </cfRule>
  </conditionalFormatting>
  <conditionalFormatting sqref="J10:N19">
    <cfRule type="containsBlanks" dxfId="2" priority="3">
      <formula>LEN(TRIM(J10))=0</formula>
    </cfRule>
  </conditionalFormatting>
  <printOptions horizontalCentered="1"/>
  <pageMargins left="0.25" right="0.25" top="0.25" bottom="0.25" header="0.3" footer="0.3"/>
  <pageSetup scale="77" orientation="landscape" r:id="rId1"/>
  <ignoredErrors>
    <ignoredError sqref="C2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4"/>
  <sheetViews>
    <sheetView workbookViewId="0">
      <selection activeCell="I14" sqref="I14"/>
    </sheetView>
  </sheetViews>
  <sheetFormatPr defaultRowHeight="14.4" x14ac:dyDescent="0.3"/>
  <cols>
    <col min="1" max="1" width="14" customWidth="1"/>
    <col min="2" max="7" width="10.5546875" bestFit="1" customWidth="1"/>
    <col min="8" max="8" width="9" bestFit="1" customWidth="1"/>
    <col min="9" max="9" width="12.33203125" bestFit="1" customWidth="1"/>
  </cols>
  <sheetData>
    <row r="1" spans="1:9" x14ac:dyDescent="0.3">
      <c r="A1" s="5" t="s">
        <v>161</v>
      </c>
    </row>
    <row r="3" spans="1:9" x14ac:dyDescent="0.3">
      <c r="A3" s="8" t="s">
        <v>163</v>
      </c>
    </row>
    <row r="4" spans="1:9" x14ac:dyDescent="0.3">
      <c r="A4" t="s">
        <v>162</v>
      </c>
    </row>
    <row r="5" spans="1:9" x14ac:dyDescent="0.3">
      <c r="A5" t="s">
        <v>173</v>
      </c>
    </row>
    <row r="6" spans="1:9" x14ac:dyDescent="0.3">
      <c r="A6" t="s">
        <v>186</v>
      </c>
    </row>
    <row r="9" spans="1:9" x14ac:dyDescent="0.3">
      <c r="B9" s="2" t="s">
        <v>165</v>
      </c>
      <c r="C9" s="2" t="s">
        <v>166</v>
      </c>
      <c r="D9" s="2" t="s">
        <v>167</v>
      </c>
      <c r="E9" s="2" t="s">
        <v>168</v>
      </c>
      <c r="F9" s="2" t="s">
        <v>169</v>
      </c>
      <c r="G9" s="2" t="s">
        <v>170</v>
      </c>
      <c r="H9" s="2" t="s">
        <v>171</v>
      </c>
      <c r="I9" s="12" t="s">
        <v>172</v>
      </c>
    </row>
    <row r="10" spans="1:9" ht="8.1" customHeight="1" x14ac:dyDescent="0.3">
      <c r="I10" s="13"/>
    </row>
    <row r="11" spans="1:9" x14ac:dyDescent="0.3">
      <c r="A11" t="s">
        <v>134</v>
      </c>
      <c r="B11" s="1">
        <f>SUMIFS('Deal Detail'!I:I, 'Deal Detail'!A:A, "Entertainment", 'Deal Detail'!H:H, "&gt;=1/1/2017", 'Deal Detail'!H:H, "&lt;=1/31/2017")</f>
        <v>1110000</v>
      </c>
      <c r="C11" s="1">
        <f>SUMIFS('Deal Detail'!I:I, 'Deal Detail'!A:A, "Entertainment", 'Deal Detail'!H:H, "&gt;=02/1/2017", 'Deal Detail'!H:H, "&lt;=02/28/2017")</f>
        <v>440000</v>
      </c>
      <c r="D11" s="1">
        <f>SUMIFS('Deal Detail'!I:I, 'Deal Detail'!A:A, "Entertainment", 'Deal Detail'!H:H, "&gt;=03/1/2017", 'Deal Detail'!H:H, "&lt;=03/31/2017")</f>
        <v>250000</v>
      </c>
      <c r="E11" s="1">
        <f>SUMIFS('Deal Detail'!I:I, 'Deal Detail'!A:A, "Entertainment", 'Deal Detail'!H:H, "&gt;=04/1/2017", 'Deal Detail'!H:H, "&lt;=04/30/2017")</f>
        <v>700000</v>
      </c>
      <c r="F11" s="1">
        <f>SUMIFS('Deal Detail'!I:I, 'Deal Detail'!A:A, "Entertainment", 'Deal Detail'!H:H, "&gt;=05/1/2017", 'Deal Detail'!H:H, "&lt;=05/31/2017")</f>
        <v>390000</v>
      </c>
      <c r="G11" s="1">
        <f>SUMIFS('Deal Detail'!I:I, 'Deal Detail'!A:A, "Entertainment", 'Deal Detail'!H:H, "&gt;=06/1/2017", 'Deal Detail'!H:H, "&lt;=06/30/2017")</f>
        <v>880000</v>
      </c>
      <c r="H11" s="1">
        <f>SUMIFS('Deal Detail'!I:I, 'Deal Detail'!A:A, "Entertainment", 'Deal Detail'!H:H, "&gt;=07/1/2017", 'Deal Detail'!H:H, "&lt;=07/31/2017")</f>
        <v>550000</v>
      </c>
      <c r="I11" s="11">
        <f>SUM(B11:H11)</f>
        <v>4320000</v>
      </c>
    </row>
    <row r="12" spans="1:9" x14ac:dyDescent="0.3">
      <c r="A12" t="s">
        <v>138</v>
      </c>
      <c r="B12" s="1">
        <f>SUMIFS('Deal Detail'!I:I, 'Deal Detail'!A:A, "Lifestyle", 'Deal Detail'!H:H, "&gt;=1/1/2017", 'Deal Detail'!H:H, "&lt;=1/31/2017")</f>
        <v>1030000</v>
      </c>
      <c r="C12" s="1">
        <f>SUMIFS('Deal Detail'!I:I, 'Deal Detail'!A:A, "Lifestyle", 'Deal Detail'!H:H, "&gt;=2/1/2017", 'Deal Detail'!H:H, "&lt;=2/28/2017")</f>
        <v>450000</v>
      </c>
      <c r="D12" s="1">
        <f>SUMIFS('Deal Detail'!I:I, 'Deal Detail'!A:A, "Lifestyle", 'Deal Detail'!H:H, "&gt;=3/1/2017", 'Deal Detail'!H:H, "&lt;=3/31/2017")</f>
        <v>790000</v>
      </c>
      <c r="E12" s="1">
        <f>SUMIFS('Deal Detail'!I:I, 'Deal Detail'!A:A, "Lifestyle", 'Deal Detail'!H:H, "&gt;=4/1/2017", 'Deal Detail'!H:H, "&lt;=4/30/2017")</f>
        <v>1170000</v>
      </c>
      <c r="F12" s="1">
        <f>SUMIFS('Deal Detail'!I:I, 'Deal Detail'!A:A, "Lifestyle", 'Deal Detail'!H:H, "&gt;=5/1/2017", 'Deal Detail'!H:H, "&lt;=5/31/2017")</f>
        <v>460000</v>
      </c>
      <c r="G12" s="1">
        <f>SUMIFS('Deal Detail'!I:I, 'Deal Detail'!A:A, "Lifestyle", 'Deal Detail'!H:H, "&gt;=6/1/2017", 'Deal Detail'!H:H, "&lt;=6/30/2017")</f>
        <v>850000</v>
      </c>
      <c r="H12" s="1">
        <f>SUMIFS('Deal Detail'!I:I, 'Deal Detail'!A:A, "Lifestyle", 'Deal Detail'!H:H, "&gt;=7/1/2017", 'Deal Detail'!H:H, "&lt;=7/31/2017")</f>
        <v>0</v>
      </c>
      <c r="I12" s="11">
        <f t="shared" ref="I12:I13" si="0">SUM(B12:H12)</f>
        <v>4750000</v>
      </c>
    </row>
    <row r="13" spans="1:9" ht="16.2" x14ac:dyDescent="0.45">
      <c r="A13" t="s">
        <v>147</v>
      </c>
      <c r="B13" s="1">
        <f>SUMIFS('Deal Detail'!I:I, 'Deal Detail'!A:A, "Sports", 'Deal Detail'!H:H, "&gt;=1/1/2017", 'Deal Detail'!H:H, "&lt;=1/31/2017")</f>
        <v>220000</v>
      </c>
      <c r="C13" s="1">
        <f>SUMIFS('Deal Detail'!I:I, 'Deal Detail'!A:A, "Sports", 'Deal Detail'!H:H, "&gt;=02/1/2017", 'Deal Detail'!H:H, "&lt;=02/28/2017")</f>
        <v>540000</v>
      </c>
      <c r="D13" s="1">
        <f>SUMIFS('Deal Detail'!I:I, 'Deal Detail'!A:A, "Sports", 'Deal Detail'!H:H, "&gt;=03/1/2017", 'Deal Detail'!H:H, "&lt;=03/31/2017")</f>
        <v>510000</v>
      </c>
      <c r="E13" s="1">
        <f>SUMIFS('Deal Detail'!I:I, 'Deal Detail'!A:A, "Sports", 'Deal Detail'!H:H, "&gt;=04/1/2017", 'Deal Detail'!H:H, "&lt;=04/30/2017")</f>
        <v>560000</v>
      </c>
      <c r="F13" s="1">
        <f>SUMIFS('Deal Detail'!I:I, 'Deal Detail'!A:A, "Sports", 'Deal Detail'!H:H, "&gt;=05/1/2017", 'Deal Detail'!H:H, "&lt;=05/31/2017")</f>
        <v>1000000</v>
      </c>
      <c r="G13" s="1">
        <f>SUMIFS('Deal Detail'!I:I, 'Deal Detail'!A:A, "Sports", 'Deal Detail'!H:H, "&gt;=06/1/2017", 'Deal Detail'!H:H, "&lt;=06/30/2017")</f>
        <v>340000</v>
      </c>
      <c r="H13" s="1">
        <f>SUMIFS('Deal Detail'!I:I, 'Deal Detail'!A:A, "Sports", 'Deal Detail'!H:H, "&gt;=07/1/2017", 'Deal Detail'!H:H, "&lt;=07/31/2017")</f>
        <v>150000</v>
      </c>
      <c r="I13" s="14">
        <f t="shared" si="0"/>
        <v>3320000</v>
      </c>
    </row>
    <row r="14" spans="1:9" s="3" customFormat="1" x14ac:dyDescent="0.3">
      <c r="A14" s="3" t="s">
        <v>164</v>
      </c>
      <c r="B14" s="10">
        <f t="shared" ref="B14:F14" si="1">SUM(B11:B13)</f>
        <v>2360000</v>
      </c>
      <c r="C14" s="10">
        <f t="shared" si="1"/>
        <v>1430000</v>
      </c>
      <c r="D14" s="10">
        <f t="shared" si="1"/>
        <v>1550000</v>
      </c>
      <c r="E14" s="10">
        <f t="shared" si="1"/>
        <v>2430000</v>
      </c>
      <c r="F14" s="10">
        <f t="shared" si="1"/>
        <v>1850000</v>
      </c>
      <c r="G14" s="10">
        <f>SUM(G11:G13)</f>
        <v>2070000</v>
      </c>
      <c r="H14" s="10">
        <f>SUM(H11:H13)</f>
        <v>700000</v>
      </c>
      <c r="I14" s="11">
        <f>SUM(B14:H14)</f>
        <v>12390000</v>
      </c>
    </row>
  </sheetData>
  <conditionalFormatting sqref="B11:H13">
    <cfRule type="containsBlanks" dxfId="1" priority="1">
      <formula>LEN(TRIM(B11))=0</formula>
    </cfRule>
  </conditionalFormatting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60"/>
  <sheetViews>
    <sheetView tabSelected="1" topLeftCell="A20" workbookViewId="0">
      <selection activeCell="L14" sqref="L14"/>
    </sheetView>
  </sheetViews>
  <sheetFormatPr defaultRowHeight="14.4" x14ac:dyDescent="0.3"/>
  <cols>
    <col min="1" max="1" width="5.6640625" customWidth="1"/>
    <col min="2" max="2" width="14.88671875" customWidth="1"/>
    <col min="3" max="3" width="23.33203125" customWidth="1"/>
    <col min="4" max="4" width="35" customWidth="1"/>
    <col min="5" max="5" width="13.109375" customWidth="1"/>
    <col min="6" max="6" width="11" customWidth="1"/>
    <col min="7" max="7" width="13.33203125" customWidth="1"/>
    <col min="8" max="8" width="11.5546875" customWidth="1"/>
    <col min="9" max="9" width="5.44140625" customWidth="1"/>
    <col min="10" max="10" width="11.77734375" style="55" customWidth="1"/>
    <col min="11" max="11" width="5.44140625" customWidth="1"/>
    <col min="12" max="12" width="17.5546875" customWidth="1"/>
    <col min="13" max="13" width="16.77734375" customWidth="1"/>
    <col min="14" max="14" width="26.33203125" customWidth="1"/>
    <col min="15" max="15" width="11.6640625" customWidth="1"/>
    <col min="16" max="16" width="14.109375" customWidth="1"/>
    <col min="17" max="17" width="11.6640625" customWidth="1"/>
    <col min="18" max="18" width="16.6640625" customWidth="1"/>
    <col min="19" max="19" width="10.77734375" customWidth="1"/>
    <col min="20" max="20" width="13.5546875" style="29" customWidth="1"/>
    <col min="21" max="21" width="8.88671875" style="29"/>
    <col min="22" max="22" width="11.109375" style="29" bestFit="1" customWidth="1"/>
    <col min="23" max="24" width="8.88671875" style="29"/>
    <col min="25" max="25" width="10" style="29" bestFit="1" customWidth="1"/>
  </cols>
  <sheetData>
    <row r="1" spans="1:25" x14ac:dyDescent="0.3">
      <c r="A1" s="5" t="s">
        <v>183</v>
      </c>
    </row>
    <row r="3" spans="1:25" x14ac:dyDescent="0.3">
      <c r="A3" s="8" t="s">
        <v>163</v>
      </c>
    </row>
    <row r="4" spans="1:25" x14ac:dyDescent="0.3">
      <c r="A4" t="s">
        <v>185</v>
      </c>
    </row>
    <row r="5" spans="1:25" x14ac:dyDescent="0.3">
      <c r="A5" t="s">
        <v>184</v>
      </c>
    </row>
    <row r="6" spans="1:25" x14ac:dyDescent="0.3">
      <c r="A6" t="s">
        <v>180</v>
      </c>
    </row>
    <row r="7" spans="1:25" x14ac:dyDescent="0.3">
      <c r="A7" t="s">
        <v>182</v>
      </c>
    </row>
    <row r="8" spans="1:25" x14ac:dyDescent="0.3">
      <c r="A8" t="s">
        <v>181</v>
      </c>
    </row>
    <row r="11" spans="1:25" x14ac:dyDescent="0.3">
      <c r="A11" s="25"/>
      <c r="B11" s="18"/>
      <c r="C11" s="18"/>
      <c r="D11" s="18"/>
      <c r="E11" s="19" t="s">
        <v>153</v>
      </c>
      <c r="F11" s="19" t="s">
        <v>155</v>
      </c>
      <c r="G11" s="19" t="s">
        <v>156</v>
      </c>
      <c r="H11" s="20"/>
    </row>
    <row r="12" spans="1:25" x14ac:dyDescent="0.3">
      <c r="A12" s="26" t="s">
        <v>178</v>
      </c>
      <c r="B12" s="17" t="s">
        <v>133</v>
      </c>
      <c r="C12" s="17" t="s">
        <v>100</v>
      </c>
      <c r="D12" s="17" t="s">
        <v>99</v>
      </c>
      <c r="E12" s="17" t="s">
        <v>154</v>
      </c>
      <c r="F12" s="17" t="s">
        <v>154</v>
      </c>
      <c r="G12" s="17" t="s">
        <v>157</v>
      </c>
      <c r="H12" s="21">
        <v>2017</v>
      </c>
      <c r="L12" s="3" t="s">
        <v>199</v>
      </c>
    </row>
    <row r="13" spans="1:25" ht="18.600000000000001" customHeight="1" x14ac:dyDescent="0.3">
      <c r="A13" s="9"/>
      <c r="H13" s="22"/>
      <c r="L13" s="3" t="s">
        <v>133</v>
      </c>
      <c r="M13" s="3" t="s">
        <v>100</v>
      </c>
      <c r="N13" s="3" t="s">
        <v>99</v>
      </c>
      <c r="O13" s="3" t="s">
        <v>197</v>
      </c>
      <c r="P13" s="3" t="s">
        <v>101</v>
      </c>
      <c r="Q13" s="3" t="s">
        <v>102</v>
      </c>
      <c r="R13" s="3" t="s">
        <v>196</v>
      </c>
      <c r="S13" s="3" t="s">
        <v>198</v>
      </c>
      <c r="T13" s="50">
        <v>2017</v>
      </c>
      <c r="U13" s="3">
        <v>2018</v>
      </c>
      <c r="V13" s="3">
        <v>2019</v>
      </c>
      <c r="W13" s="3">
        <v>2020</v>
      </c>
      <c r="X13" s="3">
        <v>2021</v>
      </c>
      <c r="Y13" s="52" t="s">
        <v>200</v>
      </c>
    </row>
    <row r="14" spans="1:25" x14ac:dyDescent="0.3">
      <c r="A14" s="27">
        <v>1</v>
      </c>
      <c r="B14" t="str">
        <f>L14</f>
        <v>Entertainment</v>
      </c>
      <c r="C14" t="str">
        <f>M14</f>
        <v>Shaquille O'Neal</v>
      </c>
      <c r="D14" t="str">
        <f>N14</f>
        <v>Kimpton Hotels &amp; Restaurants</v>
      </c>
      <c r="E14" t="str">
        <f>P14</f>
        <v>Ber-tia</v>
      </c>
      <c r="F14" t="str">
        <f>Q14</f>
        <v>Sarah</v>
      </c>
      <c r="G14" t="str">
        <f>R14</f>
        <v>Vinny</v>
      </c>
      <c r="H14" s="58">
        <f t="shared" ref="H14:H33" si="0">T14</f>
        <v>250000</v>
      </c>
      <c r="J14" s="60" cm="1">
        <f t="array" ref="J14:J33">INDEX(_xlfn._xlws.SORT(_xlfn._xlws.FILTER('Deal Detail'!I7:I100000, 'Deal Detail'!I7:I100000&lt;&gt;""), 1, -1), _xlfn.SEQUENCE(20), 1)</f>
        <v>250000</v>
      </c>
      <c r="L14" t="str" cm="1">
        <f t="array" ref="L14:Y33">_xlfn._xlws.SORT(_xlfn._xlws.FILTER(Table5[],Table5[Column9]&gt;=LARGE(Table5[Column9], 20)),9,-1)</f>
        <v>Entertainment</v>
      </c>
      <c r="M14" t="str">
        <v>Shaquille O'Neal</v>
      </c>
      <c r="N14" t="str">
        <v>Kimpton Hotels &amp; Restaurants</v>
      </c>
      <c r="O14" t="str">
        <v>Music/Ent</v>
      </c>
      <c r="P14" t="str">
        <v>Ber-tia</v>
      </c>
      <c r="Q14" t="str">
        <v>Sarah</v>
      </c>
      <c r="R14" t="str">
        <v>Vinny</v>
      </c>
      <c r="S14" s="56">
        <v>42755</v>
      </c>
      <c r="T14" s="29">
        <v>250000</v>
      </c>
      <c r="U14" s="29">
        <v>255000</v>
      </c>
      <c r="V14" s="29">
        <v>0</v>
      </c>
      <c r="W14" s="29">
        <v>0</v>
      </c>
      <c r="X14" s="29">
        <v>0</v>
      </c>
      <c r="Y14" s="29">
        <v>505000</v>
      </c>
    </row>
    <row r="15" spans="1:25" x14ac:dyDescent="0.3">
      <c r="A15" s="27">
        <v>2</v>
      </c>
      <c r="B15" t="str">
        <f>L15</f>
        <v>Lifestyle</v>
      </c>
      <c r="C15" t="str">
        <f t="shared" ref="C15:C33" si="1">M15</f>
        <v>Judith Leiber</v>
      </c>
      <c r="D15" t="str">
        <f t="shared" ref="D15:D33" si="2">N15</f>
        <v>The Cheesecake Factory</v>
      </c>
      <c r="E15" t="str">
        <f t="shared" ref="E15:E33" si="3">P15</f>
        <v>Adam G</v>
      </c>
      <c r="F15" t="str">
        <f t="shared" ref="F15:F33" si="4">Q15</f>
        <v>Phil</v>
      </c>
      <c r="G15" t="str">
        <f t="shared" ref="G15:G33" si="5">R15</f>
        <v>Nick/Jarrod</v>
      </c>
      <c r="H15" s="58">
        <f t="shared" si="0"/>
        <v>250000</v>
      </c>
      <c r="J15" s="60">
        <v>250000</v>
      </c>
      <c r="L15" t="str">
        <v>Lifestyle</v>
      </c>
      <c r="M15" t="str">
        <v>Judith Leiber</v>
      </c>
      <c r="N15" t="str">
        <v>The Cheesecake Factory</v>
      </c>
      <c r="O15" t="str">
        <v>Music/Ent</v>
      </c>
      <c r="P15" t="str">
        <v>Adam G</v>
      </c>
      <c r="Q15" t="str">
        <v>Phil</v>
      </c>
      <c r="R15" t="str">
        <v>Nick/Jarrod</v>
      </c>
      <c r="S15" s="56">
        <v>42909</v>
      </c>
      <c r="T15" s="29">
        <v>250000</v>
      </c>
      <c r="U15" s="29">
        <v>252500</v>
      </c>
      <c r="V15" s="29">
        <v>255025</v>
      </c>
      <c r="W15" s="29">
        <v>257575.25</v>
      </c>
      <c r="X15" s="29">
        <v>260151.0025</v>
      </c>
      <c r="Y15" s="29">
        <v>1275251.2524999999</v>
      </c>
    </row>
    <row r="16" spans="1:25" x14ac:dyDescent="0.3">
      <c r="A16" s="27">
        <v>3</v>
      </c>
      <c r="B16" t="str">
        <f t="shared" ref="B16:B33" si="6">L16</f>
        <v>Sports</v>
      </c>
      <c r="C16" t="str">
        <f t="shared" si="1"/>
        <v>Tretorn</v>
      </c>
      <c r="D16" t="str">
        <f t="shared" si="2"/>
        <v>Hyland</v>
      </c>
      <c r="E16" t="str">
        <f t="shared" si="3"/>
        <v>Brian</v>
      </c>
      <c r="F16" t="str">
        <f t="shared" si="4"/>
        <v>Jay</v>
      </c>
      <c r="G16" t="str">
        <f t="shared" si="5"/>
        <v>Julie/Ken</v>
      </c>
      <c r="H16" s="58">
        <f t="shared" si="0"/>
        <v>250000</v>
      </c>
      <c r="J16" s="60">
        <v>250000</v>
      </c>
      <c r="L16" t="str">
        <v>Sports</v>
      </c>
      <c r="M16" t="str">
        <v>Tretorn</v>
      </c>
      <c r="N16" t="str">
        <v>Hyland</v>
      </c>
      <c r="O16" t="str">
        <v>NIL</v>
      </c>
      <c r="P16" t="str">
        <v>Brian</v>
      </c>
      <c r="Q16" t="str">
        <v>Jay</v>
      </c>
      <c r="R16" t="str">
        <v>Julie/Ken</v>
      </c>
      <c r="S16" s="56">
        <v>42866</v>
      </c>
      <c r="T16" s="29">
        <v>250000</v>
      </c>
      <c r="U16" s="29">
        <v>252500</v>
      </c>
      <c r="V16" s="29">
        <v>255025</v>
      </c>
      <c r="W16" s="29">
        <v>257575.25</v>
      </c>
      <c r="X16" s="29">
        <v>260151.0025</v>
      </c>
      <c r="Y16" s="29">
        <v>1275251.2524999999</v>
      </c>
    </row>
    <row r="17" spans="1:25" x14ac:dyDescent="0.3">
      <c r="A17" s="27">
        <v>4</v>
      </c>
      <c r="B17" t="str">
        <f t="shared" si="6"/>
        <v>Entertainment</v>
      </c>
      <c r="C17" t="str">
        <f t="shared" si="1"/>
        <v>Shaquille O'Neal</v>
      </c>
      <c r="D17" t="str">
        <f t="shared" si="2"/>
        <v>Methodist Le Bonheur Healthcare</v>
      </c>
      <c r="E17" t="str">
        <f t="shared" si="3"/>
        <v>Christina M</v>
      </c>
      <c r="F17" t="str">
        <f t="shared" si="4"/>
        <v>Jay</v>
      </c>
      <c r="G17" t="str">
        <f t="shared" si="5"/>
        <v>Colin/Perry</v>
      </c>
      <c r="H17" s="58">
        <f t="shared" si="0"/>
        <v>250000</v>
      </c>
      <c r="J17" s="60">
        <v>250000</v>
      </c>
      <c r="L17" t="str">
        <v>Entertainment</v>
      </c>
      <c r="M17" t="str">
        <v>Shaquille O'Neal</v>
      </c>
      <c r="N17" t="str">
        <v>Methodist Le Bonheur Healthcare</v>
      </c>
      <c r="O17" t="str">
        <v>Merch</v>
      </c>
      <c r="P17" t="str">
        <v>Christina M</v>
      </c>
      <c r="Q17" t="str">
        <v>Jay</v>
      </c>
      <c r="R17" t="str">
        <v>Colin/Perry</v>
      </c>
      <c r="S17" s="56">
        <v>42886</v>
      </c>
      <c r="T17" s="29">
        <v>250000</v>
      </c>
      <c r="U17" s="29">
        <v>257500</v>
      </c>
      <c r="V17" s="29">
        <v>265225</v>
      </c>
      <c r="W17" s="29">
        <v>0</v>
      </c>
      <c r="X17" s="29">
        <v>0</v>
      </c>
      <c r="Y17" s="29">
        <v>772725</v>
      </c>
    </row>
    <row r="18" spans="1:25" x14ac:dyDescent="0.3">
      <c r="A18" s="27">
        <v>5</v>
      </c>
      <c r="B18" t="str">
        <f t="shared" si="6"/>
        <v>Lifestyle</v>
      </c>
      <c r="C18" t="str">
        <f t="shared" si="1"/>
        <v>Frye</v>
      </c>
      <c r="D18" t="str">
        <f t="shared" si="2"/>
        <v>Genentech</v>
      </c>
      <c r="E18" t="str">
        <f t="shared" si="3"/>
        <v>Ber-tia</v>
      </c>
      <c r="F18" t="str">
        <f t="shared" si="4"/>
        <v>Eric</v>
      </c>
      <c r="G18" t="str">
        <f t="shared" si="5"/>
        <v>Vinny</v>
      </c>
      <c r="H18" s="58">
        <f t="shared" si="0"/>
        <v>240000</v>
      </c>
      <c r="J18" s="60">
        <v>240000</v>
      </c>
      <c r="L18" t="str">
        <v>Lifestyle</v>
      </c>
      <c r="M18" t="str">
        <v>Frye</v>
      </c>
      <c r="N18" t="str">
        <v>Genentech</v>
      </c>
      <c r="O18" t="str">
        <v>Merch</v>
      </c>
      <c r="P18" t="str">
        <v>Ber-tia</v>
      </c>
      <c r="Q18" t="str">
        <v>Eric</v>
      </c>
      <c r="R18" t="str">
        <v>Vinny</v>
      </c>
      <c r="S18" s="56">
        <v>42830</v>
      </c>
      <c r="T18" s="29">
        <v>240000</v>
      </c>
      <c r="U18" s="29">
        <v>240000</v>
      </c>
      <c r="V18" s="29">
        <v>240000</v>
      </c>
      <c r="W18" s="29">
        <v>240000</v>
      </c>
      <c r="X18" s="29">
        <v>240000</v>
      </c>
      <c r="Y18" s="29">
        <v>1200000</v>
      </c>
    </row>
    <row r="19" spans="1:25" x14ac:dyDescent="0.3">
      <c r="A19" s="27">
        <v>6</v>
      </c>
      <c r="B19" t="str">
        <f t="shared" si="6"/>
        <v>Entertainment</v>
      </c>
      <c r="C19" t="str">
        <f t="shared" si="1"/>
        <v>Dr. J</v>
      </c>
      <c r="D19" t="str">
        <f t="shared" si="2"/>
        <v>CHG Healthcare Services</v>
      </c>
      <c r="E19" t="str">
        <f t="shared" si="3"/>
        <v>Dilson</v>
      </c>
      <c r="F19" t="str">
        <f t="shared" si="4"/>
        <v>Joe</v>
      </c>
      <c r="G19" t="str">
        <f t="shared" si="5"/>
        <v>Nick/Jarrod</v>
      </c>
      <c r="H19" s="58">
        <f t="shared" si="0"/>
        <v>240000</v>
      </c>
      <c r="J19" s="60">
        <v>240000</v>
      </c>
      <c r="L19" t="str">
        <v>Entertainment</v>
      </c>
      <c r="M19" t="str">
        <v>Dr. J</v>
      </c>
      <c r="N19" t="str">
        <v>CHG Healthcare Services</v>
      </c>
      <c r="O19" t="str">
        <v>Merch</v>
      </c>
      <c r="P19" t="str">
        <v>Dilson</v>
      </c>
      <c r="Q19" t="str">
        <v>Joe</v>
      </c>
      <c r="R19" t="str">
        <v>Nick/Jarrod</v>
      </c>
      <c r="S19" s="56">
        <v>42907</v>
      </c>
      <c r="T19" s="29">
        <v>240000</v>
      </c>
      <c r="U19" s="29">
        <v>247200</v>
      </c>
      <c r="V19" s="29">
        <v>254616</v>
      </c>
      <c r="W19" s="29">
        <v>262254.48</v>
      </c>
      <c r="X19" s="29">
        <v>0</v>
      </c>
      <c r="Y19" s="29">
        <v>1004070.48</v>
      </c>
    </row>
    <row r="20" spans="1:25" x14ac:dyDescent="0.3">
      <c r="A20" s="27">
        <v>7</v>
      </c>
      <c r="B20" t="str">
        <f t="shared" si="6"/>
        <v>Lifestyle</v>
      </c>
      <c r="C20" t="str">
        <f t="shared" si="1"/>
        <v>Adrienne Vittadini</v>
      </c>
      <c r="D20" t="str">
        <f t="shared" si="2"/>
        <v>David Weekley Homes</v>
      </c>
      <c r="E20" t="str">
        <f t="shared" si="3"/>
        <v>Christina M</v>
      </c>
      <c r="F20" t="str">
        <f t="shared" si="4"/>
        <v>Rebecca</v>
      </c>
      <c r="G20" t="str">
        <f t="shared" si="5"/>
        <v>Julie/Ken</v>
      </c>
      <c r="H20" s="58">
        <f t="shared" si="0"/>
        <v>240000</v>
      </c>
      <c r="J20" s="60">
        <v>240000</v>
      </c>
      <c r="L20" t="str">
        <v>Lifestyle</v>
      </c>
      <c r="M20" t="str">
        <v>Adrienne Vittadini</v>
      </c>
      <c r="N20" t="str">
        <v>David Weekley Homes</v>
      </c>
      <c r="O20" t="str">
        <v>Music/Ent</v>
      </c>
      <c r="P20" t="str">
        <v>Christina M</v>
      </c>
      <c r="Q20" t="str">
        <v>Rebecca</v>
      </c>
      <c r="R20" t="str">
        <v>Julie/Ken</v>
      </c>
      <c r="S20" s="56">
        <v>42737</v>
      </c>
      <c r="T20" s="29">
        <v>240000</v>
      </c>
      <c r="U20" s="29">
        <v>242400</v>
      </c>
      <c r="V20" s="29">
        <v>244824</v>
      </c>
      <c r="W20" s="29">
        <v>247272.24</v>
      </c>
      <c r="X20" s="29">
        <v>249744.96239999999</v>
      </c>
      <c r="Y20" s="29">
        <v>1224241.2024000001</v>
      </c>
    </row>
    <row r="21" spans="1:25" x14ac:dyDescent="0.3">
      <c r="A21" s="27">
        <v>8</v>
      </c>
      <c r="B21" t="str">
        <f t="shared" si="6"/>
        <v>Sports</v>
      </c>
      <c r="C21" t="str">
        <f t="shared" si="1"/>
        <v>Airwalk</v>
      </c>
      <c r="D21" t="str">
        <f t="shared" si="2"/>
        <v>Nvidia</v>
      </c>
      <c r="E21" t="str">
        <f t="shared" si="3"/>
        <v>Brian</v>
      </c>
      <c r="F21" t="str">
        <f t="shared" si="4"/>
        <v>Sarah</v>
      </c>
      <c r="G21" t="str">
        <f t="shared" si="5"/>
        <v>John E</v>
      </c>
      <c r="H21" s="58">
        <f t="shared" si="0"/>
        <v>240000</v>
      </c>
      <c r="J21" s="60">
        <v>240000</v>
      </c>
      <c r="L21" t="str">
        <v>Sports</v>
      </c>
      <c r="M21" t="str">
        <v>Airwalk</v>
      </c>
      <c r="N21" t="str">
        <v>Nvidia</v>
      </c>
      <c r="O21" t="str">
        <v>Music/Ent</v>
      </c>
      <c r="P21" t="str">
        <v>Brian</v>
      </c>
      <c r="Q21" t="str">
        <v>Sarah</v>
      </c>
      <c r="R21" t="str">
        <v>John E</v>
      </c>
      <c r="S21" s="56">
        <v>42812</v>
      </c>
      <c r="T21" s="29">
        <v>240000</v>
      </c>
      <c r="U21" s="29">
        <v>240000</v>
      </c>
      <c r="V21" s="29">
        <v>240000</v>
      </c>
      <c r="W21" s="29">
        <v>240000</v>
      </c>
      <c r="X21" s="29">
        <v>0</v>
      </c>
      <c r="Y21" s="29">
        <v>960000</v>
      </c>
    </row>
    <row r="22" spans="1:25" x14ac:dyDescent="0.3">
      <c r="A22" s="27">
        <v>9</v>
      </c>
      <c r="B22" t="str">
        <f t="shared" si="6"/>
        <v>Entertainment</v>
      </c>
      <c r="C22" t="str">
        <f t="shared" si="1"/>
        <v>Greg Norman</v>
      </c>
      <c r="D22" t="str">
        <f t="shared" si="2"/>
        <v>Orrick, Herrington &amp; Sutcliffe</v>
      </c>
      <c r="E22" t="str">
        <f t="shared" si="3"/>
        <v>Amie K</v>
      </c>
      <c r="F22" t="str">
        <f t="shared" si="4"/>
        <v>Nicole</v>
      </c>
      <c r="G22" t="str">
        <f t="shared" si="5"/>
        <v>Julie/Ken</v>
      </c>
      <c r="H22" s="58">
        <f t="shared" si="0"/>
        <v>240000</v>
      </c>
      <c r="J22" s="60">
        <v>240000</v>
      </c>
      <c r="L22" t="str">
        <v>Entertainment</v>
      </c>
      <c r="M22" t="str">
        <v>Greg Norman</v>
      </c>
      <c r="N22" t="str">
        <v>Orrick, Herrington &amp; Sutcliffe</v>
      </c>
      <c r="O22" t="str">
        <v>NIL</v>
      </c>
      <c r="P22" t="str">
        <v>Amie K</v>
      </c>
      <c r="Q22" t="str">
        <v>Nicole</v>
      </c>
      <c r="R22" t="str">
        <v>Julie/Ken</v>
      </c>
      <c r="S22" s="56">
        <v>42911</v>
      </c>
      <c r="T22" s="29">
        <v>240000</v>
      </c>
      <c r="U22" s="29">
        <v>244800</v>
      </c>
      <c r="V22" s="29">
        <v>249696</v>
      </c>
      <c r="W22" s="29">
        <v>254689.92000000001</v>
      </c>
      <c r="X22" s="29">
        <v>259783.71840000001</v>
      </c>
      <c r="Y22" s="29">
        <v>1248969.6384000001</v>
      </c>
    </row>
    <row r="23" spans="1:25" x14ac:dyDescent="0.3">
      <c r="A23" s="27">
        <v>10</v>
      </c>
      <c r="B23" t="str">
        <f t="shared" si="6"/>
        <v>Entertainment</v>
      </c>
      <c r="C23" t="str">
        <f t="shared" si="1"/>
        <v>Marilyn Monroe</v>
      </c>
      <c r="D23" t="str">
        <f t="shared" si="2"/>
        <v>Wegmans Food Markets</v>
      </c>
      <c r="E23" t="str">
        <f t="shared" si="3"/>
        <v>Brian</v>
      </c>
      <c r="F23" t="str">
        <f t="shared" si="4"/>
        <v>Rebecca</v>
      </c>
      <c r="G23" t="str">
        <f t="shared" si="5"/>
        <v>Colin/Perry</v>
      </c>
      <c r="H23" s="58">
        <f t="shared" si="0"/>
        <v>230000</v>
      </c>
      <c r="J23" s="60">
        <v>230000</v>
      </c>
      <c r="L23" t="str">
        <v>Entertainment</v>
      </c>
      <c r="M23" t="str">
        <v>Marilyn Monroe</v>
      </c>
      <c r="N23" t="str">
        <v>Wegmans Food Markets</v>
      </c>
      <c r="O23" t="str">
        <v>Merch</v>
      </c>
      <c r="P23" t="str">
        <v>Brian</v>
      </c>
      <c r="Q23" t="str">
        <v>Rebecca</v>
      </c>
      <c r="R23" t="str">
        <v>Colin/Perry</v>
      </c>
      <c r="S23" s="56">
        <v>42930</v>
      </c>
      <c r="T23" s="29">
        <v>230000</v>
      </c>
      <c r="U23" s="29">
        <v>236900</v>
      </c>
      <c r="V23" s="29">
        <v>244007</v>
      </c>
      <c r="W23" s="29">
        <v>251327.21000000002</v>
      </c>
      <c r="X23" s="29">
        <v>0</v>
      </c>
      <c r="Y23" s="29">
        <v>962234.21</v>
      </c>
    </row>
    <row r="24" spans="1:25" x14ac:dyDescent="0.3">
      <c r="A24" s="27">
        <v>11</v>
      </c>
      <c r="B24" t="str">
        <f t="shared" si="6"/>
        <v>Entertainment</v>
      </c>
      <c r="C24" t="str">
        <f t="shared" si="1"/>
        <v>Dr. J</v>
      </c>
      <c r="D24" t="str">
        <f t="shared" si="2"/>
        <v>Capital One</v>
      </c>
      <c r="E24" t="str">
        <f t="shared" si="3"/>
        <v>Dawn</v>
      </c>
      <c r="F24" t="str">
        <f t="shared" si="4"/>
        <v>Pamela</v>
      </c>
      <c r="G24" t="str">
        <f t="shared" si="5"/>
        <v>Jamie</v>
      </c>
      <c r="H24" s="58">
        <f t="shared" si="0"/>
        <v>230000</v>
      </c>
      <c r="J24" s="60">
        <v>230000</v>
      </c>
      <c r="L24" t="str">
        <v>Entertainment</v>
      </c>
      <c r="M24" t="str">
        <v>Dr. J</v>
      </c>
      <c r="N24" t="str">
        <v>Capital One</v>
      </c>
      <c r="O24" t="str">
        <v>Music/Ent</v>
      </c>
      <c r="P24" t="str">
        <v>Dawn</v>
      </c>
      <c r="Q24" t="str">
        <v>Pamela</v>
      </c>
      <c r="R24" t="str">
        <v>Jamie</v>
      </c>
      <c r="S24" s="56">
        <v>42739</v>
      </c>
      <c r="T24" s="29">
        <v>230000</v>
      </c>
      <c r="U24" s="29">
        <v>234600</v>
      </c>
      <c r="V24" s="29">
        <v>239292</v>
      </c>
      <c r="W24" s="29">
        <v>244077.84</v>
      </c>
      <c r="X24" s="29">
        <v>248959.39679999999</v>
      </c>
      <c r="Y24" s="29">
        <v>1196929.2368000001</v>
      </c>
    </row>
    <row r="25" spans="1:25" x14ac:dyDescent="0.3">
      <c r="A25" s="27">
        <v>12</v>
      </c>
      <c r="B25" t="str">
        <f t="shared" si="6"/>
        <v>Lifestyle</v>
      </c>
      <c r="C25" t="str">
        <f t="shared" si="1"/>
        <v>Jones New York</v>
      </c>
      <c r="D25" t="str">
        <f t="shared" si="2"/>
        <v>Alston &amp; Bird</v>
      </c>
      <c r="E25" t="str">
        <f t="shared" si="3"/>
        <v>Ali</v>
      </c>
      <c r="F25" t="str">
        <f t="shared" si="4"/>
        <v>Noah</v>
      </c>
      <c r="G25" t="str">
        <f t="shared" si="5"/>
        <v>Vinny</v>
      </c>
      <c r="H25" s="58">
        <f t="shared" si="0"/>
        <v>230000</v>
      </c>
      <c r="J25" s="60">
        <v>230000</v>
      </c>
      <c r="L25" t="str">
        <v>Lifestyle</v>
      </c>
      <c r="M25" t="str">
        <v>Jones New York</v>
      </c>
      <c r="N25" t="str">
        <v>Alston &amp; Bird</v>
      </c>
      <c r="O25" t="str">
        <v>NIL</v>
      </c>
      <c r="P25" t="str">
        <v>Ali</v>
      </c>
      <c r="Q25" t="str">
        <v>Noah</v>
      </c>
      <c r="R25" t="str">
        <v>Vinny</v>
      </c>
      <c r="S25" s="56">
        <v>42764</v>
      </c>
      <c r="T25" s="29">
        <v>230000</v>
      </c>
      <c r="U25" s="29">
        <v>234600</v>
      </c>
      <c r="V25" s="29">
        <v>239292</v>
      </c>
      <c r="W25" s="29">
        <v>244077.84</v>
      </c>
      <c r="X25" s="29">
        <v>248959.39679999999</v>
      </c>
      <c r="Y25" s="29">
        <v>1196929.2368000001</v>
      </c>
    </row>
    <row r="26" spans="1:25" x14ac:dyDescent="0.3">
      <c r="A26" s="27">
        <v>13</v>
      </c>
      <c r="B26" t="str">
        <f t="shared" si="6"/>
        <v>Lifestyle</v>
      </c>
      <c r="C26" t="str">
        <f t="shared" si="1"/>
        <v>Aeropostale</v>
      </c>
      <c r="D26" t="str">
        <f t="shared" si="2"/>
        <v>Novo Nordisk</v>
      </c>
      <c r="E26" t="str">
        <f t="shared" si="3"/>
        <v>Corey</v>
      </c>
      <c r="F26" t="str">
        <f t="shared" si="4"/>
        <v>Joe</v>
      </c>
      <c r="G26" t="str">
        <f t="shared" si="5"/>
        <v>John E</v>
      </c>
      <c r="H26" s="58">
        <f t="shared" si="0"/>
        <v>230000</v>
      </c>
      <c r="J26" s="60">
        <v>230000</v>
      </c>
      <c r="L26" t="str">
        <v>Lifestyle</v>
      </c>
      <c r="M26" t="str">
        <v>Aeropostale</v>
      </c>
      <c r="N26" t="str">
        <v>Novo Nordisk</v>
      </c>
      <c r="O26" t="str">
        <v>Music/Ent</v>
      </c>
      <c r="P26" t="str">
        <v>Corey</v>
      </c>
      <c r="Q26" t="str">
        <v>Joe</v>
      </c>
      <c r="R26" t="str">
        <v>John E</v>
      </c>
      <c r="S26" s="56">
        <v>42849</v>
      </c>
      <c r="T26" s="29">
        <v>230000</v>
      </c>
      <c r="U26" s="29">
        <v>234600</v>
      </c>
      <c r="V26" s="29">
        <v>239292</v>
      </c>
      <c r="W26" s="29">
        <v>244077.84</v>
      </c>
      <c r="X26" s="29">
        <v>248959.39679999999</v>
      </c>
      <c r="Y26" s="29">
        <v>1196929.2368000001</v>
      </c>
    </row>
    <row r="27" spans="1:25" x14ac:dyDescent="0.3">
      <c r="A27" s="27">
        <v>14</v>
      </c>
      <c r="B27" t="str">
        <f t="shared" si="6"/>
        <v>Entertainment</v>
      </c>
      <c r="C27" t="str">
        <f t="shared" si="1"/>
        <v>Muhammad Ali</v>
      </c>
      <c r="D27" t="str">
        <f t="shared" si="2"/>
        <v>Credit Acceptance</v>
      </c>
      <c r="E27" t="str">
        <f t="shared" si="3"/>
        <v>Dilson</v>
      </c>
      <c r="F27" t="str">
        <f t="shared" si="4"/>
        <v>Joe</v>
      </c>
      <c r="G27" t="str">
        <f t="shared" si="5"/>
        <v>Nick/Jarrod</v>
      </c>
      <c r="H27" s="58">
        <f t="shared" si="0"/>
        <v>220000</v>
      </c>
      <c r="J27" s="60">
        <v>220000</v>
      </c>
      <c r="L27" t="str">
        <v>Entertainment</v>
      </c>
      <c r="M27" t="str">
        <v>Muhammad Ali</v>
      </c>
      <c r="N27" t="str">
        <v>Credit Acceptance</v>
      </c>
      <c r="O27" t="str">
        <v>Music/Ent</v>
      </c>
      <c r="P27" t="str">
        <v>Dilson</v>
      </c>
      <c r="Q27" t="str">
        <v>Joe</v>
      </c>
      <c r="R27" t="str">
        <v>Nick/Jarrod</v>
      </c>
      <c r="S27" s="56">
        <v>42775</v>
      </c>
      <c r="T27" s="29">
        <v>220000</v>
      </c>
      <c r="U27" s="29">
        <v>222200</v>
      </c>
      <c r="V27" s="29">
        <v>224422</v>
      </c>
      <c r="W27" s="29">
        <v>226666.22</v>
      </c>
      <c r="X27" s="29">
        <v>0</v>
      </c>
      <c r="Y27" s="29">
        <v>893288.22</v>
      </c>
    </row>
    <row r="28" spans="1:25" x14ac:dyDescent="0.3">
      <c r="A28" s="27">
        <v>15</v>
      </c>
      <c r="B28" t="str">
        <f t="shared" si="6"/>
        <v>Lifestyle</v>
      </c>
      <c r="C28" t="str">
        <f t="shared" si="1"/>
        <v>Juicy Couture</v>
      </c>
      <c r="D28" t="str">
        <f t="shared" si="2"/>
        <v>SAP America</v>
      </c>
      <c r="E28" t="str">
        <f t="shared" si="3"/>
        <v>Ber-tia</v>
      </c>
      <c r="F28" t="str">
        <f t="shared" si="4"/>
        <v>Eric</v>
      </c>
      <c r="G28" t="str">
        <f t="shared" si="5"/>
        <v>Colin/Perry</v>
      </c>
      <c r="H28" s="58">
        <f t="shared" si="0"/>
        <v>220000</v>
      </c>
      <c r="J28" s="60">
        <v>220000</v>
      </c>
      <c r="L28" t="str">
        <v>Lifestyle</v>
      </c>
      <c r="M28" t="str">
        <v>Juicy Couture</v>
      </c>
      <c r="N28" t="str">
        <v>SAP America</v>
      </c>
      <c r="O28" t="str">
        <v>NIL</v>
      </c>
      <c r="P28" t="str">
        <v>Ber-tia</v>
      </c>
      <c r="Q28" t="str">
        <v>Eric</v>
      </c>
      <c r="R28" t="str">
        <v>Colin/Perry</v>
      </c>
      <c r="S28" s="56">
        <v>42836</v>
      </c>
      <c r="T28" s="29">
        <v>220000</v>
      </c>
      <c r="U28" s="29">
        <v>222200</v>
      </c>
      <c r="V28" s="29">
        <v>224422</v>
      </c>
      <c r="W28" s="29">
        <v>0</v>
      </c>
      <c r="X28" s="29">
        <v>0</v>
      </c>
      <c r="Y28" s="29">
        <v>666622</v>
      </c>
    </row>
    <row r="29" spans="1:25" x14ac:dyDescent="0.3">
      <c r="A29" s="27">
        <v>16</v>
      </c>
      <c r="B29" t="str">
        <f t="shared" si="6"/>
        <v>Sports</v>
      </c>
      <c r="C29" t="str">
        <f t="shared" si="1"/>
        <v>Tapout</v>
      </c>
      <c r="D29" t="str">
        <f t="shared" si="2"/>
        <v>Four Seasons Hotels &amp; Resorts</v>
      </c>
      <c r="E29" t="str">
        <f t="shared" si="3"/>
        <v>Dilson</v>
      </c>
      <c r="F29" t="str">
        <f t="shared" si="4"/>
        <v>Noah</v>
      </c>
      <c r="G29" t="str">
        <f t="shared" si="5"/>
        <v>Jamie</v>
      </c>
      <c r="H29" s="58">
        <f t="shared" si="0"/>
        <v>220000</v>
      </c>
      <c r="J29" s="60">
        <v>220000</v>
      </c>
      <c r="L29" t="str">
        <v>Sports</v>
      </c>
      <c r="M29" t="str">
        <v>Tapout</v>
      </c>
      <c r="N29" t="str">
        <v>Four Seasons Hotels &amp; Resorts</v>
      </c>
      <c r="O29" t="str">
        <v>NIL</v>
      </c>
      <c r="P29" t="str">
        <v>Dilson</v>
      </c>
      <c r="Q29" t="str">
        <v>Noah</v>
      </c>
      <c r="R29" t="str">
        <v>Jamie</v>
      </c>
      <c r="S29" s="56">
        <v>42878</v>
      </c>
      <c r="T29" s="29">
        <v>220000</v>
      </c>
      <c r="U29" s="29">
        <v>224400</v>
      </c>
      <c r="V29" s="29">
        <v>228888</v>
      </c>
      <c r="W29" s="29">
        <v>233465.76</v>
      </c>
      <c r="X29" s="29">
        <v>238135.07520000002</v>
      </c>
      <c r="Y29" s="29">
        <v>1144888.8352000001</v>
      </c>
    </row>
    <row r="30" spans="1:25" x14ac:dyDescent="0.3">
      <c r="A30" s="27">
        <v>17</v>
      </c>
      <c r="B30" t="str">
        <f t="shared" si="6"/>
        <v>Entertainment</v>
      </c>
      <c r="C30" t="str">
        <f t="shared" si="1"/>
        <v>Elvis Presley</v>
      </c>
      <c r="D30" t="str">
        <f t="shared" si="2"/>
        <v>American Fidelity Assurance</v>
      </c>
      <c r="E30" t="str">
        <f t="shared" si="3"/>
        <v>Adam G</v>
      </c>
      <c r="F30" t="str">
        <f t="shared" si="4"/>
        <v>Nicole</v>
      </c>
      <c r="G30" t="str">
        <f t="shared" si="5"/>
        <v>Corey</v>
      </c>
      <c r="H30" s="58">
        <f t="shared" si="0"/>
        <v>220000</v>
      </c>
      <c r="J30" s="60">
        <v>220000</v>
      </c>
      <c r="L30" t="str">
        <v>Entertainment</v>
      </c>
      <c r="M30" t="str">
        <v>Elvis Presley</v>
      </c>
      <c r="N30" t="str">
        <v>American Fidelity Assurance</v>
      </c>
      <c r="O30" t="str">
        <v>Merch</v>
      </c>
      <c r="P30" t="str">
        <v>Adam G</v>
      </c>
      <c r="Q30" t="str">
        <v>Nicole</v>
      </c>
      <c r="R30" t="str">
        <v>Corey</v>
      </c>
      <c r="S30" s="56">
        <v>42910</v>
      </c>
      <c r="T30" s="29">
        <v>220000</v>
      </c>
      <c r="U30" s="29">
        <v>220000</v>
      </c>
      <c r="V30" s="29">
        <v>220000</v>
      </c>
      <c r="W30" s="29">
        <v>0</v>
      </c>
      <c r="X30" s="29">
        <v>0</v>
      </c>
      <c r="Y30" s="29">
        <v>660000</v>
      </c>
    </row>
    <row r="31" spans="1:25" x14ac:dyDescent="0.3">
      <c r="A31" s="27">
        <v>18</v>
      </c>
      <c r="B31" t="str">
        <f t="shared" si="6"/>
        <v>Sports</v>
      </c>
      <c r="C31" t="str">
        <f t="shared" si="1"/>
        <v>Prince</v>
      </c>
      <c r="D31" t="str">
        <f t="shared" si="2"/>
        <v>Baird</v>
      </c>
      <c r="E31" t="str">
        <f t="shared" si="3"/>
        <v>Corey</v>
      </c>
      <c r="F31" t="str">
        <f t="shared" si="4"/>
        <v>Nicole</v>
      </c>
      <c r="G31" t="str">
        <f t="shared" si="5"/>
        <v>John E</v>
      </c>
      <c r="H31" s="58">
        <f t="shared" si="0"/>
        <v>210000</v>
      </c>
      <c r="J31" s="60">
        <v>210000</v>
      </c>
      <c r="L31" t="str">
        <v>Sports</v>
      </c>
      <c r="M31" t="str">
        <v>Prince</v>
      </c>
      <c r="N31" t="str">
        <v>Baird</v>
      </c>
      <c r="O31" t="str">
        <v>NIL</v>
      </c>
      <c r="P31" t="str">
        <v>Corey</v>
      </c>
      <c r="Q31" t="str">
        <v>Nicole</v>
      </c>
      <c r="R31" t="str">
        <v>John E</v>
      </c>
      <c r="S31" s="56">
        <v>42833</v>
      </c>
      <c r="T31" s="29">
        <v>210000</v>
      </c>
      <c r="U31" s="29">
        <v>210000</v>
      </c>
      <c r="V31" s="29">
        <v>210000</v>
      </c>
      <c r="W31" s="29">
        <v>210000</v>
      </c>
      <c r="X31" s="29">
        <v>210000</v>
      </c>
      <c r="Y31" s="29">
        <v>1050000</v>
      </c>
    </row>
    <row r="32" spans="1:25" x14ac:dyDescent="0.3">
      <c r="A32" s="27">
        <v>19</v>
      </c>
      <c r="B32" t="str">
        <f t="shared" si="6"/>
        <v>Lifestyle</v>
      </c>
      <c r="C32" t="str">
        <f t="shared" si="1"/>
        <v>Adrienne Vittadini</v>
      </c>
      <c r="D32" t="str">
        <f t="shared" si="2"/>
        <v>REI</v>
      </c>
      <c r="E32" t="str">
        <f t="shared" si="3"/>
        <v>Amie K</v>
      </c>
      <c r="F32" t="str">
        <f t="shared" si="4"/>
        <v>Pamela</v>
      </c>
      <c r="G32" t="str">
        <f t="shared" si="5"/>
        <v>Colin/Perry</v>
      </c>
      <c r="H32" s="58">
        <f t="shared" si="0"/>
        <v>210000</v>
      </c>
      <c r="J32" s="60">
        <v>210000</v>
      </c>
      <c r="L32" t="str">
        <v>Lifestyle</v>
      </c>
      <c r="M32" t="str">
        <v>Adrienne Vittadini</v>
      </c>
      <c r="N32" t="str">
        <v>REI</v>
      </c>
      <c r="O32" t="str">
        <v>Music/Ent</v>
      </c>
      <c r="P32" t="str">
        <v>Amie K</v>
      </c>
      <c r="Q32" t="str">
        <v>Pamela</v>
      </c>
      <c r="R32" t="str">
        <v>Colin/Perry</v>
      </c>
      <c r="S32" s="56">
        <v>42788</v>
      </c>
      <c r="T32" s="29">
        <v>210000</v>
      </c>
      <c r="U32" s="29">
        <v>212100</v>
      </c>
      <c r="V32" s="29">
        <v>214221</v>
      </c>
      <c r="W32" s="29">
        <v>216363.21</v>
      </c>
      <c r="X32" s="29">
        <v>218526.84209999998</v>
      </c>
      <c r="Y32" s="29">
        <v>1071211.0521</v>
      </c>
    </row>
    <row r="33" spans="1:25" x14ac:dyDescent="0.3">
      <c r="A33" s="28">
        <v>20</v>
      </c>
      <c r="B33" s="51" t="str">
        <f t="shared" si="6"/>
        <v>Sports</v>
      </c>
      <c r="C33" s="51" t="str">
        <f t="shared" si="1"/>
        <v>Airwalk</v>
      </c>
      <c r="D33" s="51" t="str">
        <f t="shared" si="2"/>
        <v>Delta Air Lines</v>
      </c>
      <c r="E33" s="51" t="str">
        <f t="shared" si="3"/>
        <v>Colin</v>
      </c>
      <c r="F33" s="51" t="str">
        <f t="shared" si="4"/>
        <v>Phil</v>
      </c>
      <c r="G33" s="51" t="str">
        <f t="shared" si="5"/>
        <v>Julie/Ken</v>
      </c>
      <c r="H33" s="59">
        <f t="shared" si="0"/>
        <v>210000</v>
      </c>
      <c r="I33" s="24"/>
      <c r="J33" s="60">
        <v>210000</v>
      </c>
      <c r="L33" t="str">
        <v>Sports</v>
      </c>
      <c r="M33" t="str">
        <v>Airwalk</v>
      </c>
      <c r="N33" t="str">
        <v>Delta Air Lines</v>
      </c>
      <c r="O33" t="str">
        <v>Merch</v>
      </c>
      <c r="P33" t="str">
        <v>Colin</v>
      </c>
      <c r="Q33" t="str">
        <v>Phil</v>
      </c>
      <c r="R33" t="str">
        <v>Julie/Ken</v>
      </c>
      <c r="S33" s="56">
        <v>42768</v>
      </c>
      <c r="T33" s="29">
        <v>210000</v>
      </c>
      <c r="U33" s="29">
        <v>210000</v>
      </c>
      <c r="V33" s="29">
        <v>210000</v>
      </c>
      <c r="W33" s="29">
        <v>210000</v>
      </c>
      <c r="X33" s="29">
        <v>210000</v>
      </c>
      <c r="Y33" s="29">
        <v>1050000</v>
      </c>
    </row>
    <row r="36" spans="1:25" x14ac:dyDescent="0.3">
      <c r="A36" s="25"/>
      <c r="B36" s="18"/>
      <c r="C36" s="18"/>
      <c r="D36" s="18"/>
      <c r="E36" s="19" t="s">
        <v>153</v>
      </c>
      <c r="F36" s="19" t="s">
        <v>155</v>
      </c>
      <c r="G36" s="19" t="s">
        <v>156</v>
      </c>
      <c r="H36" s="20"/>
    </row>
    <row r="37" spans="1:25" x14ac:dyDescent="0.3">
      <c r="A37" s="26" t="s">
        <v>178</v>
      </c>
      <c r="B37" s="17" t="s">
        <v>133</v>
      </c>
      <c r="C37" s="17" t="s">
        <v>100</v>
      </c>
      <c r="D37" s="17" t="s">
        <v>99</v>
      </c>
      <c r="E37" s="17" t="s">
        <v>154</v>
      </c>
      <c r="F37" s="17" t="s">
        <v>154</v>
      </c>
      <c r="G37" s="17" t="s">
        <v>157</v>
      </c>
      <c r="H37" s="21" t="s">
        <v>177</v>
      </c>
      <c r="L37" s="3" t="s">
        <v>201</v>
      </c>
    </row>
    <row r="38" spans="1:25" ht="18.600000000000001" customHeight="1" x14ac:dyDescent="0.3">
      <c r="A38" s="9"/>
      <c r="H38" s="22"/>
      <c r="L38" s="3" t="s">
        <v>133</v>
      </c>
      <c r="M38" s="3" t="s">
        <v>100</v>
      </c>
      <c r="N38" s="3" t="s">
        <v>99</v>
      </c>
      <c r="O38" s="3" t="s">
        <v>197</v>
      </c>
      <c r="P38" s="3" t="s">
        <v>101</v>
      </c>
      <c r="Q38" s="3" t="s">
        <v>102</v>
      </c>
      <c r="R38" s="3" t="s">
        <v>196</v>
      </c>
      <c r="S38" s="3" t="s">
        <v>198</v>
      </c>
      <c r="T38" s="3">
        <v>2017</v>
      </c>
      <c r="U38" s="3">
        <v>2018</v>
      </c>
      <c r="V38" s="3">
        <v>2019</v>
      </c>
      <c r="W38" s="3">
        <v>2020</v>
      </c>
      <c r="X38" s="3">
        <v>2021</v>
      </c>
      <c r="Y38" s="52" t="s">
        <v>200</v>
      </c>
    </row>
    <row r="39" spans="1:25" x14ac:dyDescent="0.3">
      <c r="A39" s="27">
        <v>1</v>
      </c>
      <c r="B39" s="23" t="str">
        <f>L39</f>
        <v>Lifestyle</v>
      </c>
      <c r="C39" s="23" t="str">
        <f>M39</f>
        <v>Judith Leiber</v>
      </c>
      <c r="D39" s="23" t="str">
        <f>N39</f>
        <v>The Cheesecake Factory</v>
      </c>
      <c r="E39" s="23" t="str">
        <f>P39</f>
        <v>Adam G</v>
      </c>
      <c r="F39" s="23" t="str">
        <f>Q39</f>
        <v>Phil</v>
      </c>
      <c r="G39" s="23" t="str">
        <f>R39</f>
        <v>Nick/Jarrod</v>
      </c>
      <c r="H39" s="58">
        <f t="shared" ref="H39:H58" si="7">Y39</f>
        <v>1275251.2524999999</v>
      </c>
      <c r="J39" s="61" cm="1">
        <f t="array" ref="J39:J58">INDEX(_xlfn._xlws.SORT(_xlfn._xlws.FILTER('Deal Detail'!N7:N100000, 'Deal Detail'!N7:N100000&lt;&gt;""), 1, -1), _xlfn.SEQUENCE(20), 1)</f>
        <v>1275251.2524999999</v>
      </c>
      <c r="L39" t="str" cm="1">
        <f t="array" ref="L39:Y60">_xlfn._xlws.SORT(_xlfn._xlws.FILTER(Table5[], (Table5[Column14] &gt;= LARGE(Table5[Column14], 20)) * ISNUMBER(Table5[Column14])), 14, -1)</f>
        <v>Lifestyle</v>
      </c>
      <c r="M39" t="str">
        <v>Judith Leiber</v>
      </c>
      <c r="N39" t="str">
        <v>The Cheesecake Factory</v>
      </c>
      <c r="O39" t="str">
        <v>Music/Ent</v>
      </c>
      <c r="P39" t="str">
        <v>Adam G</v>
      </c>
      <c r="Q39" t="str">
        <v>Phil</v>
      </c>
      <c r="R39" t="str">
        <v>Nick/Jarrod</v>
      </c>
      <c r="S39" s="56">
        <v>42909</v>
      </c>
      <c r="T39" s="29">
        <v>250000</v>
      </c>
      <c r="U39" s="29">
        <v>252500</v>
      </c>
      <c r="V39" s="29">
        <v>255025</v>
      </c>
      <c r="W39" s="29">
        <v>257575.25</v>
      </c>
      <c r="X39" s="29">
        <v>260151.0025</v>
      </c>
      <c r="Y39" s="29">
        <v>1275251.2524999999</v>
      </c>
    </row>
    <row r="40" spans="1:25" x14ac:dyDescent="0.3">
      <c r="A40" s="27">
        <v>2</v>
      </c>
      <c r="B40" s="23" t="str">
        <f t="shared" ref="B40:B58" si="8">L40</f>
        <v>Sports</v>
      </c>
      <c r="C40" s="23" t="str">
        <f t="shared" ref="C40:C58" si="9">M40</f>
        <v>Tretorn</v>
      </c>
      <c r="D40" s="23" t="str">
        <f t="shared" ref="D40:D58" si="10">N40</f>
        <v>Hyland</v>
      </c>
      <c r="E40" s="23" t="str">
        <f t="shared" ref="E40:E58" si="11">P40</f>
        <v>Brian</v>
      </c>
      <c r="F40" s="23" t="str">
        <f t="shared" ref="F40:F58" si="12">Q40</f>
        <v>Jay</v>
      </c>
      <c r="G40" s="23" t="str">
        <f t="shared" ref="G40:G58" si="13">R40</f>
        <v>Julie/Ken</v>
      </c>
      <c r="H40" s="58">
        <f t="shared" si="7"/>
        <v>1275251.2524999999</v>
      </c>
      <c r="J40" s="60">
        <v>1275251.2524999999</v>
      </c>
      <c r="L40" t="str">
        <v>Sports</v>
      </c>
      <c r="M40" t="str">
        <v>Tretorn</v>
      </c>
      <c r="N40" t="str">
        <v>Hyland</v>
      </c>
      <c r="O40" t="str">
        <v>NIL</v>
      </c>
      <c r="P40" t="str">
        <v>Brian</v>
      </c>
      <c r="Q40" t="str">
        <v>Jay</v>
      </c>
      <c r="R40" t="str">
        <v>Julie/Ken</v>
      </c>
      <c r="S40" s="56">
        <v>42866</v>
      </c>
      <c r="T40" s="29">
        <v>250000</v>
      </c>
      <c r="U40" s="29">
        <v>252500</v>
      </c>
      <c r="V40" s="29">
        <v>255025</v>
      </c>
      <c r="W40" s="29">
        <v>257575.25</v>
      </c>
      <c r="X40" s="29">
        <v>260151.0025</v>
      </c>
      <c r="Y40" s="29">
        <v>1275251.2524999999</v>
      </c>
    </row>
    <row r="41" spans="1:25" x14ac:dyDescent="0.3">
      <c r="A41" s="27">
        <v>3</v>
      </c>
      <c r="B41" s="23" t="str">
        <f t="shared" si="8"/>
        <v>Entertainment</v>
      </c>
      <c r="C41" s="23" t="str">
        <f t="shared" si="9"/>
        <v>Greg Norman</v>
      </c>
      <c r="D41" s="23" t="str">
        <f t="shared" si="10"/>
        <v>Orrick, Herrington &amp; Sutcliffe</v>
      </c>
      <c r="E41" s="23" t="str">
        <f t="shared" si="11"/>
        <v>Amie K</v>
      </c>
      <c r="F41" s="23" t="str">
        <f t="shared" si="12"/>
        <v>Nicole</v>
      </c>
      <c r="G41" s="23" t="str">
        <f t="shared" si="13"/>
        <v>Julie/Ken</v>
      </c>
      <c r="H41" s="58">
        <f t="shared" si="7"/>
        <v>1248969.6384000001</v>
      </c>
      <c r="J41" s="60">
        <v>1248969.6384000001</v>
      </c>
      <c r="L41" t="str">
        <v>Entertainment</v>
      </c>
      <c r="M41" t="str">
        <v>Greg Norman</v>
      </c>
      <c r="N41" t="str">
        <v>Orrick, Herrington &amp; Sutcliffe</v>
      </c>
      <c r="O41" t="str">
        <v>NIL</v>
      </c>
      <c r="P41" t="str">
        <v>Amie K</v>
      </c>
      <c r="Q41" t="str">
        <v>Nicole</v>
      </c>
      <c r="R41" t="str">
        <v>Julie/Ken</v>
      </c>
      <c r="S41" s="56">
        <v>42911</v>
      </c>
      <c r="T41" s="29">
        <v>240000</v>
      </c>
      <c r="U41" s="29">
        <v>244800</v>
      </c>
      <c r="V41" s="29">
        <v>249696</v>
      </c>
      <c r="W41" s="29">
        <v>254689.92000000001</v>
      </c>
      <c r="X41" s="29">
        <v>259783.71840000001</v>
      </c>
      <c r="Y41" s="29">
        <v>1248969.6384000001</v>
      </c>
    </row>
    <row r="42" spans="1:25" x14ac:dyDescent="0.3">
      <c r="A42" s="27">
        <v>4</v>
      </c>
      <c r="B42" s="23" t="str">
        <f t="shared" si="8"/>
        <v>Lifestyle</v>
      </c>
      <c r="C42" s="23" t="str">
        <f t="shared" si="9"/>
        <v>Adrienne Vittadini</v>
      </c>
      <c r="D42" s="23" t="str">
        <f t="shared" si="10"/>
        <v>David Weekley Homes</v>
      </c>
      <c r="E42" s="23" t="str">
        <f t="shared" si="11"/>
        <v>Christina M</v>
      </c>
      <c r="F42" s="23" t="str">
        <f t="shared" si="12"/>
        <v>Rebecca</v>
      </c>
      <c r="G42" s="23" t="str">
        <f t="shared" si="13"/>
        <v>Julie/Ken</v>
      </c>
      <c r="H42" s="58">
        <f t="shared" si="7"/>
        <v>1224241.2024000001</v>
      </c>
      <c r="J42" s="60">
        <v>1224241.2024000001</v>
      </c>
      <c r="L42" t="str">
        <v>Lifestyle</v>
      </c>
      <c r="M42" t="str">
        <v>Adrienne Vittadini</v>
      </c>
      <c r="N42" t="str">
        <v>David Weekley Homes</v>
      </c>
      <c r="O42" t="str">
        <v>Music/Ent</v>
      </c>
      <c r="P42" t="str">
        <v>Christina M</v>
      </c>
      <c r="Q42" t="str">
        <v>Rebecca</v>
      </c>
      <c r="R42" t="str">
        <v>Julie/Ken</v>
      </c>
      <c r="S42" s="56">
        <v>42737</v>
      </c>
      <c r="T42" s="29">
        <v>240000</v>
      </c>
      <c r="U42" s="29">
        <v>242400</v>
      </c>
      <c r="V42" s="29">
        <v>244824</v>
      </c>
      <c r="W42" s="29">
        <v>247272.24</v>
      </c>
      <c r="X42" s="29">
        <v>249744.96239999999</v>
      </c>
      <c r="Y42" s="29">
        <v>1224241.2024000001</v>
      </c>
    </row>
    <row r="43" spans="1:25" x14ac:dyDescent="0.3">
      <c r="A43" s="27">
        <v>5</v>
      </c>
      <c r="B43" s="23" t="str">
        <f t="shared" si="8"/>
        <v>Lifestyle</v>
      </c>
      <c r="C43" s="23" t="str">
        <f t="shared" si="9"/>
        <v>Frye</v>
      </c>
      <c r="D43" s="23" t="str">
        <f t="shared" si="10"/>
        <v>Genentech</v>
      </c>
      <c r="E43" s="23" t="str">
        <f t="shared" si="11"/>
        <v>Ber-tia</v>
      </c>
      <c r="F43" s="23" t="str">
        <f t="shared" si="12"/>
        <v>Eric</v>
      </c>
      <c r="G43" s="23" t="str">
        <f t="shared" si="13"/>
        <v>Vinny</v>
      </c>
      <c r="H43" s="58">
        <f t="shared" si="7"/>
        <v>1200000</v>
      </c>
      <c r="J43" s="60">
        <v>1200000</v>
      </c>
      <c r="L43" t="str">
        <v>Lifestyle</v>
      </c>
      <c r="M43" t="str">
        <v>Frye</v>
      </c>
      <c r="N43" t="str">
        <v>Genentech</v>
      </c>
      <c r="O43" t="str">
        <v>Merch</v>
      </c>
      <c r="P43" t="str">
        <v>Ber-tia</v>
      </c>
      <c r="Q43" t="str">
        <v>Eric</v>
      </c>
      <c r="R43" t="str">
        <v>Vinny</v>
      </c>
      <c r="S43" s="56">
        <v>42830</v>
      </c>
      <c r="T43" s="29">
        <v>240000</v>
      </c>
      <c r="U43" s="29">
        <v>240000</v>
      </c>
      <c r="V43" s="29">
        <v>240000</v>
      </c>
      <c r="W43" s="29">
        <v>240000</v>
      </c>
      <c r="X43" s="29">
        <v>240000</v>
      </c>
      <c r="Y43" s="29">
        <v>1200000</v>
      </c>
    </row>
    <row r="44" spans="1:25" x14ac:dyDescent="0.3">
      <c r="A44" s="27">
        <v>6</v>
      </c>
      <c r="B44" s="23" t="str">
        <f t="shared" si="8"/>
        <v>Entertainment</v>
      </c>
      <c r="C44" s="23" t="str">
        <f t="shared" si="9"/>
        <v>Dr. J</v>
      </c>
      <c r="D44" s="23" t="str">
        <f t="shared" si="10"/>
        <v>Capital One</v>
      </c>
      <c r="E44" s="23" t="str">
        <f t="shared" si="11"/>
        <v>Dawn</v>
      </c>
      <c r="F44" s="23" t="str">
        <f t="shared" si="12"/>
        <v>Pamela</v>
      </c>
      <c r="G44" s="23" t="str">
        <f t="shared" si="13"/>
        <v>Jamie</v>
      </c>
      <c r="H44" s="58">
        <f t="shared" si="7"/>
        <v>1196929.2368000001</v>
      </c>
      <c r="J44" s="60">
        <v>1196929.2368000001</v>
      </c>
      <c r="L44" t="str">
        <v>Entertainment</v>
      </c>
      <c r="M44" t="str">
        <v>Dr. J</v>
      </c>
      <c r="N44" t="str">
        <v>Capital One</v>
      </c>
      <c r="O44" t="str">
        <v>Music/Ent</v>
      </c>
      <c r="P44" t="str">
        <v>Dawn</v>
      </c>
      <c r="Q44" t="str">
        <v>Pamela</v>
      </c>
      <c r="R44" t="str">
        <v>Jamie</v>
      </c>
      <c r="S44" s="56">
        <v>42739</v>
      </c>
      <c r="T44" s="29">
        <v>230000</v>
      </c>
      <c r="U44" s="29">
        <v>234600</v>
      </c>
      <c r="V44" s="29">
        <v>239292</v>
      </c>
      <c r="W44" s="29">
        <v>244077.84</v>
      </c>
      <c r="X44" s="29">
        <v>248959.39679999999</v>
      </c>
      <c r="Y44" s="29">
        <v>1196929.2368000001</v>
      </c>
    </row>
    <row r="45" spans="1:25" x14ac:dyDescent="0.3">
      <c r="A45" s="27">
        <v>7</v>
      </c>
      <c r="B45" s="57" t="str">
        <f t="shared" si="8"/>
        <v>Lifestyle</v>
      </c>
      <c r="C45" s="23" t="str">
        <f t="shared" si="9"/>
        <v>Jones New York</v>
      </c>
      <c r="D45" s="23" t="str">
        <f t="shared" si="10"/>
        <v>Alston &amp; Bird</v>
      </c>
      <c r="E45" s="23" t="str">
        <f t="shared" si="11"/>
        <v>Ali</v>
      </c>
      <c r="F45" s="23" t="str">
        <f t="shared" si="12"/>
        <v>Noah</v>
      </c>
      <c r="G45" s="23" t="str">
        <f t="shared" si="13"/>
        <v>Vinny</v>
      </c>
      <c r="H45" s="58">
        <f t="shared" si="7"/>
        <v>1196929.2368000001</v>
      </c>
      <c r="J45" s="60">
        <v>1196929.2368000001</v>
      </c>
      <c r="L45" t="str">
        <v>Lifestyle</v>
      </c>
      <c r="M45" t="str">
        <v>Jones New York</v>
      </c>
      <c r="N45" t="str">
        <v>Alston &amp; Bird</v>
      </c>
      <c r="O45" t="str">
        <v>NIL</v>
      </c>
      <c r="P45" t="str">
        <v>Ali</v>
      </c>
      <c r="Q45" t="str">
        <v>Noah</v>
      </c>
      <c r="R45" t="str">
        <v>Vinny</v>
      </c>
      <c r="S45" s="56">
        <v>42764</v>
      </c>
      <c r="T45" s="29">
        <v>230000</v>
      </c>
      <c r="U45" s="29">
        <v>234600</v>
      </c>
      <c r="V45" s="29">
        <v>239292</v>
      </c>
      <c r="W45" s="29">
        <v>244077.84</v>
      </c>
      <c r="X45" s="29">
        <v>248959.39679999999</v>
      </c>
      <c r="Y45" s="29">
        <v>1196929.2368000001</v>
      </c>
    </row>
    <row r="46" spans="1:25" x14ac:dyDescent="0.3">
      <c r="A46" s="27">
        <v>8</v>
      </c>
      <c r="B46" s="23" t="str">
        <f t="shared" si="8"/>
        <v>Lifestyle</v>
      </c>
      <c r="C46" s="23" t="str">
        <f t="shared" si="9"/>
        <v>Aeropostale</v>
      </c>
      <c r="D46" s="23" t="str">
        <f t="shared" si="10"/>
        <v>Novo Nordisk</v>
      </c>
      <c r="E46" s="23" t="str">
        <f t="shared" si="11"/>
        <v>Corey</v>
      </c>
      <c r="F46" s="23" t="str">
        <f t="shared" si="12"/>
        <v>Joe</v>
      </c>
      <c r="G46" s="23" t="str">
        <f t="shared" si="13"/>
        <v>John E</v>
      </c>
      <c r="H46" s="58">
        <f t="shared" si="7"/>
        <v>1196929.2368000001</v>
      </c>
      <c r="J46" s="60">
        <v>1196929.2368000001</v>
      </c>
      <c r="L46" t="str">
        <v>Lifestyle</v>
      </c>
      <c r="M46" t="str">
        <v>Aeropostale</v>
      </c>
      <c r="N46" t="str">
        <v>Novo Nordisk</v>
      </c>
      <c r="O46" t="str">
        <v>Music/Ent</v>
      </c>
      <c r="P46" t="str">
        <v>Corey</v>
      </c>
      <c r="Q46" t="str">
        <v>Joe</v>
      </c>
      <c r="R46" t="str">
        <v>John E</v>
      </c>
      <c r="S46" s="56">
        <v>42849</v>
      </c>
      <c r="T46" s="29">
        <v>230000</v>
      </c>
      <c r="U46" s="29">
        <v>234600</v>
      </c>
      <c r="V46" s="29">
        <v>239292</v>
      </c>
      <c r="W46" s="29">
        <v>244077.84</v>
      </c>
      <c r="X46" s="29">
        <v>248959.39679999999</v>
      </c>
      <c r="Y46" s="29">
        <v>1196929.2368000001</v>
      </c>
    </row>
    <row r="47" spans="1:25" x14ac:dyDescent="0.3">
      <c r="A47" s="27">
        <v>9</v>
      </c>
      <c r="B47" s="23" t="str">
        <f t="shared" si="8"/>
        <v>Sports</v>
      </c>
      <c r="C47" s="23" t="str">
        <f t="shared" si="9"/>
        <v>Tapout</v>
      </c>
      <c r="D47" s="23" t="str">
        <f t="shared" si="10"/>
        <v>Four Seasons Hotels &amp; Resorts</v>
      </c>
      <c r="E47" s="23" t="str">
        <f t="shared" si="11"/>
        <v>Dilson</v>
      </c>
      <c r="F47" s="23" t="str">
        <f t="shared" si="12"/>
        <v>Noah</v>
      </c>
      <c r="G47" s="23" t="str">
        <f t="shared" si="13"/>
        <v>Jamie</v>
      </c>
      <c r="H47" s="58">
        <f t="shared" si="7"/>
        <v>1144888.8352000001</v>
      </c>
      <c r="J47" s="60">
        <v>1144888.8352000001</v>
      </c>
      <c r="L47" t="str">
        <v>Sports</v>
      </c>
      <c r="M47" t="str">
        <v>Tapout</v>
      </c>
      <c r="N47" t="str">
        <v>Four Seasons Hotels &amp; Resorts</v>
      </c>
      <c r="O47" t="str">
        <v>NIL</v>
      </c>
      <c r="P47" t="str">
        <v>Dilson</v>
      </c>
      <c r="Q47" t="str">
        <v>Noah</v>
      </c>
      <c r="R47" t="str">
        <v>Jamie</v>
      </c>
      <c r="S47" s="56">
        <v>42878</v>
      </c>
      <c r="T47" s="29">
        <v>220000</v>
      </c>
      <c r="U47" s="29">
        <v>224400</v>
      </c>
      <c r="V47" s="29">
        <v>228888</v>
      </c>
      <c r="W47" s="29">
        <v>233465.76</v>
      </c>
      <c r="X47" s="29">
        <v>238135.07520000002</v>
      </c>
      <c r="Y47" s="29">
        <v>1144888.8352000001</v>
      </c>
    </row>
    <row r="48" spans="1:25" x14ac:dyDescent="0.3">
      <c r="A48" s="27">
        <v>10</v>
      </c>
      <c r="B48" s="23" t="str">
        <f t="shared" si="8"/>
        <v>Lifestyle</v>
      </c>
      <c r="C48" s="23" t="str">
        <f t="shared" si="9"/>
        <v>Adrienne Vittadini</v>
      </c>
      <c r="D48" s="23" t="str">
        <f t="shared" si="10"/>
        <v>REI</v>
      </c>
      <c r="E48" s="23" t="str">
        <f t="shared" si="11"/>
        <v>Amie K</v>
      </c>
      <c r="F48" s="23" t="str">
        <f t="shared" si="12"/>
        <v>Pamela</v>
      </c>
      <c r="G48" s="23" t="str">
        <f t="shared" si="13"/>
        <v>Colin/Perry</v>
      </c>
      <c r="H48" s="58">
        <f t="shared" si="7"/>
        <v>1071211.0521</v>
      </c>
      <c r="J48" s="60">
        <v>1071211.0521</v>
      </c>
      <c r="L48" t="str">
        <v>Lifestyle</v>
      </c>
      <c r="M48" t="str">
        <v>Adrienne Vittadini</v>
      </c>
      <c r="N48" t="str">
        <v>REI</v>
      </c>
      <c r="O48" t="str">
        <v>Music/Ent</v>
      </c>
      <c r="P48" t="str">
        <v>Amie K</v>
      </c>
      <c r="Q48" t="str">
        <v>Pamela</v>
      </c>
      <c r="R48" t="str">
        <v>Colin/Perry</v>
      </c>
      <c r="S48" s="56">
        <v>42788</v>
      </c>
      <c r="T48" s="29">
        <v>210000</v>
      </c>
      <c r="U48" s="29">
        <v>212100</v>
      </c>
      <c r="V48" s="29">
        <v>214221</v>
      </c>
      <c r="W48" s="29">
        <v>216363.21</v>
      </c>
      <c r="X48" s="29">
        <v>218526.84209999998</v>
      </c>
      <c r="Y48" s="29">
        <v>1071211.0521</v>
      </c>
    </row>
    <row r="49" spans="1:25" x14ac:dyDescent="0.3">
      <c r="A49" s="27">
        <v>11</v>
      </c>
      <c r="B49" s="23" t="str">
        <f t="shared" si="8"/>
        <v>Sports</v>
      </c>
      <c r="C49" s="23" t="str">
        <f t="shared" si="9"/>
        <v>Prince</v>
      </c>
      <c r="D49" s="23" t="str">
        <f t="shared" si="10"/>
        <v>Baird</v>
      </c>
      <c r="E49" s="23" t="str">
        <f t="shared" si="11"/>
        <v>Corey</v>
      </c>
      <c r="F49" s="23" t="str">
        <f t="shared" si="12"/>
        <v>Nicole</v>
      </c>
      <c r="G49" s="23" t="str">
        <f t="shared" si="13"/>
        <v>John E</v>
      </c>
      <c r="H49" s="58">
        <f t="shared" si="7"/>
        <v>1050000</v>
      </c>
      <c r="J49" s="60">
        <v>1050000</v>
      </c>
      <c r="L49" t="str">
        <v>Sports</v>
      </c>
      <c r="M49" t="str">
        <v>Prince</v>
      </c>
      <c r="N49" t="str">
        <v>Baird</v>
      </c>
      <c r="O49" t="str">
        <v>NIL</v>
      </c>
      <c r="P49" t="str">
        <v>Corey</v>
      </c>
      <c r="Q49" t="str">
        <v>Nicole</v>
      </c>
      <c r="R49" t="str">
        <v>John E</v>
      </c>
      <c r="S49" s="56">
        <v>42833</v>
      </c>
      <c r="T49" s="29">
        <v>210000</v>
      </c>
      <c r="U49" s="29">
        <v>210000</v>
      </c>
      <c r="V49" s="29">
        <v>210000</v>
      </c>
      <c r="W49" s="29">
        <v>210000</v>
      </c>
      <c r="X49" s="29">
        <v>210000</v>
      </c>
      <c r="Y49" s="29">
        <v>1050000</v>
      </c>
    </row>
    <row r="50" spans="1:25" x14ac:dyDescent="0.3">
      <c r="A50" s="27">
        <v>12</v>
      </c>
      <c r="B50" s="23" t="str">
        <f t="shared" si="8"/>
        <v>Sports</v>
      </c>
      <c r="C50" s="23" t="str">
        <f t="shared" si="9"/>
        <v>Airwalk</v>
      </c>
      <c r="D50" s="23" t="str">
        <f t="shared" si="10"/>
        <v>Delta Air Lines</v>
      </c>
      <c r="E50" s="23" t="str">
        <f t="shared" si="11"/>
        <v>Colin</v>
      </c>
      <c r="F50" s="23" t="str">
        <f t="shared" si="12"/>
        <v>Phil</v>
      </c>
      <c r="G50" s="23" t="str">
        <f t="shared" si="13"/>
        <v>Julie/Ken</v>
      </c>
      <c r="H50" s="58">
        <f t="shared" si="7"/>
        <v>1050000</v>
      </c>
      <c r="J50" s="60">
        <v>1050000</v>
      </c>
      <c r="L50" t="str">
        <v>Sports</v>
      </c>
      <c r="M50" t="str">
        <v>Airwalk</v>
      </c>
      <c r="N50" t="str">
        <v>Delta Air Lines</v>
      </c>
      <c r="O50" t="str">
        <v>Merch</v>
      </c>
      <c r="P50" t="str">
        <v>Colin</v>
      </c>
      <c r="Q50" t="str">
        <v>Phil</v>
      </c>
      <c r="R50" t="str">
        <v>Julie/Ken</v>
      </c>
      <c r="S50" s="56">
        <v>42768</v>
      </c>
      <c r="T50" s="29">
        <v>210000</v>
      </c>
      <c r="U50" s="29">
        <v>210000</v>
      </c>
      <c r="V50" s="29">
        <v>210000</v>
      </c>
      <c r="W50" s="29">
        <v>210000</v>
      </c>
      <c r="X50" s="29">
        <v>210000</v>
      </c>
      <c r="Y50" s="29">
        <v>1050000</v>
      </c>
    </row>
    <row r="51" spans="1:25" x14ac:dyDescent="0.3">
      <c r="A51" s="27">
        <v>13</v>
      </c>
      <c r="B51" s="23" t="str">
        <f t="shared" si="8"/>
        <v>Entertainment</v>
      </c>
      <c r="C51" s="23" t="str">
        <f t="shared" si="9"/>
        <v>Dr. J</v>
      </c>
      <c r="D51" s="23" t="str">
        <f t="shared" si="10"/>
        <v>CHG Healthcare Services</v>
      </c>
      <c r="E51" s="23" t="str">
        <f t="shared" si="11"/>
        <v>Dilson</v>
      </c>
      <c r="F51" s="23" t="str">
        <f t="shared" si="12"/>
        <v>Joe</v>
      </c>
      <c r="G51" s="23" t="str">
        <f t="shared" si="13"/>
        <v>Nick/Jarrod</v>
      </c>
      <c r="H51" s="58">
        <f t="shared" si="7"/>
        <v>1004070.48</v>
      </c>
      <c r="J51" s="60">
        <v>1004070.48</v>
      </c>
      <c r="L51" t="str">
        <v>Entertainment</v>
      </c>
      <c r="M51" t="str">
        <v>Dr. J</v>
      </c>
      <c r="N51" t="str">
        <v>CHG Healthcare Services</v>
      </c>
      <c r="O51" t="str">
        <v>Merch</v>
      </c>
      <c r="P51" t="str">
        <v>Dilson</v>
      </c>
      <c r="Q51" t="str">
        <v>Joe</v>
      </c>
      <c r="R51" t="str">
        <v>Nick/Jarrod</v>
      </c>
      <c r="S51" s="56">
        <v>42907</v>
      </c>
      <c r="T51" s="29">
        <v>240000</v>
      </c>
      <c r="U51" s="29">
        <v>247200</v>
      </c>
      <c r="V51" s="29">
        <v>254616</v>
      </c>
      <c r="W51" s="29">
        <v>262254.48</v>
      </c>
      <c r="X51" s="29">
        <v>0</v>
      </c>
      <c r="Y51" s="29">
        <v>1004070.48</v>
      </c>
    </row>
    <row r="52" spans="1:25" x14ac:dyDescent="0.3">
      <c r="A52" s="27">
        <v>14</v>
      </c>
      <c r="B52" s="57" t="str">
        <f t="shared" si="8"/>
        <v>Entertainment</v>
      </c>
      <c r="C52" s="23" t="str">
        <f t="shared" si="9"/>
        <v>Marilyn Monroe</v>
      </c>
      <c r="D52" s="23" t="str">
        <f t="shared" si="10"/>
        <v>Wegmans Food Markets</v>
      </c>
      <c r="E52" s="23" t="str">
        <f t="shared" si="11"/>
        <v>Brian</v>
      </c>
      <c r="F52" s="23" t="str">
        <f t="shared" si="12"/>
        <v>Rebecca</v>
      </c>
      <c r="G52" s="23" t="str">
        <f t="shared" si="13"/>
        <v>Colin/Perry</v>
      </c>
      <c r="H52" s="58">
        <f t="shared" si="7"/>
        <v>962234.21</v>
      </c>
      <c r="J52" s="60">
        <v>962234.21</v>
      </c>
      <c r="L52" t="str">
        <v>Entertainment</v>
      </c>
      <c r="M52" t="str">
        <v>Marilyn Monroe</v>
      </c>
      <c r="N52" t="str">
        <v>Wegmans Food Markets</v>
      </c>
      <c r="O52" t="str">
        <v>Merch</v>
      </c>
      <c r="P52" t="str">
        <v>Brian</v>
      </c>
      <c r="Q52" t="str">
        <v>Rebecca</v>
      </c>
      <c r="R52" t="str">
        <v>Colin/Perry</v>
      </c>
      <c r="S52" s="56">
        <v>42930</v>
      </c>
      <c r="T52" s="29">
        <v>230000</v>
      </c>
      <c r="U52" s="29">
        <v>236900</v>
      </c>
      <c r="V52" s="29">
        <v>244007</v>
      </c>
      <c r="W52" s="29">
        <v>251327.21000000002</v>
      </c>
      <c r="X52" s="29">
        <v>0</v>
      </c>
      <c r="Y52" s="29">
        <v>962234.21</v>
      </c>
    </row>
    <row r="53" spans="1:25" x14ac:dyDescent="0.3">
      <c r="A53" s="27">
        <v>15</v>
      </c>
      <c r="B53" s="23" t="str">
        <f t="shared" si="8"/>
        <v>Sports</v>
      </c>
      <c r="C53" s="23" t="str">
        <f t="shared" si="9"/>
        <v>Airwalk</v>
      </c>
      <c r="D53" s="23" t="str">
        <f t="shared" si="10"/>
        <v>Nvidia</v>
      </c>
      <c r="E53" s="23" t="str">
        <f t="shared" si="11"/>
        <v>Brian</v>
      </c>
      <c r="F53" s="23" t="str">
        <f t="shared" si="12"/>
        <v>Sarah</v>
      </c>
      <c r="G53" s="23" t="str">
        <f t="shared" si="13"/>
        <v>John E</v>
      </c>
      <c r="H53" s="58">
        <f t="shared" si="7"/>
        <v>960000</v>
      </c>
      <c r="J53" s="60">
        <v>960000</v>
      </c>
      <c r="L53" t="str">
        <v>Sports</v>
      </c>
      <c r="M53" t="str">
        <v>Airwalk</v>
      </c>
      <c r="N53" t="str">
        <v>Nvidia</v>
      </c>
      <c r="O53" t="str">
        <v>Music/Ent</v>
      </c>
      <c r="P53" t="str">
        <v>Brian</v>
      </c>
      <c r="Q53" t="str">
        <v>Sarah</v>
      </c>
      <c r="R53" t="str">
        <v>John E</v>
      </c>
      <c r="S53" s="56">
        <v>42812</v>
      </c>
      <c r="T53" s="29">
        <v>240000</v>
      </c>
      <c r="U53" s="29">
        <v>240000</v>
      </c>
      <c r="V53" s="29">
        <v>240000</v>
      </c>
      <c r="W53" s="29">
        <v>240000</v>
      </c>
      <c r="X53" s="29">
        <v>0</v>
      </c>
      <c r="Y53" s="29">
        <v>960000</v>
      </c>
    </row>
    <row r="54" spans="1:25" x14ac:dyDescent="0.3">
      <c r="A54" s="27">
        <v>16</v>
      </c>
      <c r="B54" s="23" t="str">
        <f t="shared" si="8"/>
        <v>Sports</v>
      </c>
      <c r="C54" s="23" t="str">
        <f t="shared" si="9"/>
        <v>Airwalk</v>
      </c>
      <c r="D54" s="23" t="str">
        <f t="shared" si="10"/>
        <v>Pinnacle Financial Partners</v>
      </c>
      <c r="E54" s="23" t="str">
        <f t="shared" si="11"/>
        <v>Brian</v>
      </c>
      <c r="F54" s="23" t="str">
        <f t="shared" si="12"/>
        <v>Phil</v>
      </c>
      <c r="G54" s="23" t="str">
        <f t="shared" si="13"/>
        <v>Colin/Perry</v>
      </c>
      <c r="H54" s="58">
        <f t="shared" si="7"/>
        <v>955644.44579999999</v>
      </c>
      <c r="J54" s="60">
        <v>955644.44579999999</v>
      </c>
      <c r="L54" t="str">
        <v>Sports</v>
      </c>
      <c r="M54" t="str">
        <v>Airwalk</v>
      </c>
      <c r="N54" t="str">
        <v>Pinnacle Financial Partners</v>
      </c>
      <c r="O54" t="str">
        <v>Merch</v>
      </c>
      <c r="P54" t="str">
        <v>Brian</v>
      </c>
      <c r="Q54" t="str">
        <v>Phil</v>
      </c>
      <c r="R54" t="str">
        <v>Colin/Perry</v>
      </c>
      <c r="S54" s="56">
        <v>42781</v>
      </c>
      <c r="T54" s="29">
        <v>180000</v>
      </c>
      <c r="U54" s="29">
        <v>185400</v>
      </c>
      <c r="V54" s="29">
        <v>190962</v>
      </c>
      <c r="W54" s="29">
        <v>196690.86000000002</v>
      </c>
      <c r="X54" s="29">
        <v>202591.58580000003</v>
      </c>
      <c r="Y54" s="29">
        <v>955644.44579999999</v>
      </c>
    </row>
    <row r="55" spans="1:25" x14ac:dyDescent="0.3">
      <c r="A55" s="27">
        <v>17</v>
      </c>
      <c r="B55" s="23" t="str">
        <f t="shared" si="8"/>
        <v>Entertainment</v>
      </c>
      <c r="C55" s="23" t="str">
        <f t="shared" si="9"/>
        <v>Thalia</v>
      </c>
      <c r="D55" s="23" t="str">
        <f t="shared" si="10"/>
        <v>USAA</v>
      </c>
      <c r="E55" s="23" t="str">
        <f t="shared" si="11"/>
        <v>Dawn</v>
      </c>
      <c r="F55" s="23" t="str">
        <f t="shared" si="12"/>
        <v>Sarah</v>
      </c>
      <c r="G55" s="23" t="str">
        <f t="shared" si="13"/>
        <v>John E</v>
      </c>
      <c r="H55" s="58">
        <f t="shared" si="7"/>
        <v>955644.44579999999</v>
      </c>
      <c r="J55" s="60">
        <v>955644.44579999999</v>
      </c>
      <c r="L55" t="str">
        <v>Entertainment</v>
      </c>
      <c r="M55" t="str">
        <v>Thalia</v>
      </c>
      <c r="N55" t="str">
        <v>USAA</v>
      </c>
      <c r="O55" t="str">
        <v>Music/Ent</v>
      </c>
      <c r="P55" t="str">
        <v>Dawn</v>
      </c>
      <c r="Q55" t="str">
        <v>Sarah</v>
      </c>
      <c r="R55" t="str">
        <v>John E</v>
      </c>
      <c r="S55" s="56">
        <v>42926</v>
      </c>
      <c r="T55" s="29">
        <v>180000</v>
      </c>
      <c r="U55" s="29">
        <v>185400</v>
      </c>
      <c r="V55" s="29">
        <v>190962</v>
      </c>
      <c r="W55" s="29">
        <v>196690.86000000002</v>
      </c>
      <c r="X55" s="29">
        <v>202591.58580000003</v>
      </c>
      <c r="Y55" s="29">
        <v>955644.44579999999</v>
      </c>
    </row>
    <row r="56" spans="1:25" x14ac:dyDescent="0.3">
      <c r="A56" s="27">
        <v>18</v>
      </c>
      <c r="B56" s="57" t="str">
        <f t="shared" si="8"/>
        <v>Lifestyle</v>
      </c>
      <c r="C56" s="23" t="str">
        <f t="shared" si="9"/>
        <v>Aeropostale</v>
      </c>
      <c r="D56" s="23" t="str">
        <f t="shared" si="10"/>
        <v>Aflac</v>
      </c>
      <c r="E56" s="23" t="str">
        <f t="shared" si="11"/>
        <v>Amie K</v>
      </c>
      <c r="F56" s="23" t="str">
        <f t="shared" si="12"/>
        <v>Pamela</v>
      </c>
      <c r="G56" s="23" t="str">
        <f t="shared" si="13"/>
        <v>John E</v>
      </c>
      <c r="H56" s="58">
        <f t="shared" si="7"/>
        <v>955644.44579999999</v>
      </c>
      <c r="J56" s="60">
        <v>955644.44579999999</v>
      </c>
      <c r="L56" t="str">
        <v>Lifestyle</v>
      </c>
      <c r="M56" t="str">
        <v>Aeropostale</v>
      </c>
      <c r="N56" t="str">
        <v>Aflac</v>
      </c>
      <c r="O56" t="str">
        <v>Merch</v>
      </c>
      <c r="P56" t="str">
        <v>Amie K</v>
      </c>
      <c r="Q56" t="str">
        <v>Pamela</v>
      </c>
      <c r="R56" t="str">
        <v>John E</v>
      </c>
      <c r="S56" s="56">
        <v>42915</v>
      </c>
      <c r="T56" s="29">
        <v>180000</v>
      </c>
      <c r="U56" s="29">
        <v>185400</v>
      </c>
      <c r="V56" s="29">
        <v>190962</v>
      </c>
      <c r="W56" s="29">
        <v>196690.86000000002</v>
      </c>
      <c r="X56" s="29">
        <v>202591.58580000003</v>
      </c>
      <c r="Y56" s="29">
        <v>955644.44579999999</v>
      </c>
    </row>
    <row r="57" spans="1:25" x14ac:dyDescent="0.3">
      <c r="A57" s="27">
        <v>19</v>
      </c>
      <c r="B57" s="23" t="str">
        <f t="shared" si="8"/>
        <v>Lifestyle</v>
      </c>
      <c r="C57" s="23" t="str">
        <f t="shared" si="9"/>
        <v>Frye</v>
      </c>
      <c r="D57" s="23" t="str">
        <f t="shared" si="10"/>
        <v>American Express</v>
      </c>
      <c r="E57" s="23" t="str">
        <f t="shared" si="11"/>
        <v>Dawn</v>
      </c>
      <c r="F57" s="23" t="str">
        <f t="shared" si="12"/>
        <v>Phil</v>
      </c>
      <c r="G57" s="23" t="str">
        <f t="shared" si="13"/>
        <v>Jamie</v>
      </c>
      <c r="H57" s="58">
        <f t="shared" si="7"/>
        <v>936727.22879999992</v>
      </c>
      <c r="J57" s="60">
        <v>936727.22879999992</v>
      </c>
      <c r="L57" t="str">
        <v>Lifestyle</v>
      </c>
      <c r="M57" t="str">
        <v>Frye</v>
      </c>
      <c r="N57" t="str">
        <v>American Express</v>
      </c>
      <c r="O57" t="str">
        <v>Merch</v>
      </c>
      <c r="P57" t="str">
        <v>Dawn</v>
      </c>
      <c r="Q57" t="str">
        <v>Phil</v>
      </c>
      <c r="R57" t="str">
        <v>Jamie</v>
      </c>
      <c r="S57" s="56">
        <v>42836</v>
      </c>
      <c r="T57" s="29">
        <v>180000</v>
      </c>
      <c r="U57" s="29">
        <v>183600</v>
      </c>
      <c r="V57" s="29">
        <v>187272</v>
      </c>
      <c r="W57" s="29">
        <v>191017.44</v>
      </c>
      <c r="X57" s="29">
        <v>194837.78880000001</v>
      </c>
      <c r="Y57" s="29">
        <v>936727.22879999992</v>
      </c>
    </row>
    <row r="58" spans="1:25" x14ac:dyDescent="0.3">
      <c r="A58" s="28">
        <v>20</v>
      </c>
      <c r="B58" s="54" t="str">
        <f t="shared" si="8"/>
        <v>Lifestyle</v>
      </c>
      <c r="C58" s="54" t="str">
        <f t="shared" si="9"/>
        <v>Frederick's of Hollywood</v>
      </c>
      <c r="D58" s="54" t="str">
        <f t="shared" si="10"/>
        <v>Hilcorp</v>
      </c>
      <c r="E58" s="54" t="str">
        <f t="shared" si="11"/>
        <v>Christina M</v>
      </c>
      <c r="F58" s="54" t="str">
        <f t="shared" si="12"/>
        <v>Pamela</v>
      </c>
      <c r="G58" s="54" t="str">
        <f t="shared" si="13"/>
        <v>Nick/Jarrod</v>
      </c>
      <c r="H58" s="59">
        <f t="shared" si="7"/>
        <v>900000</v>
      </c>
      <c r="J58" s="60">
        <v>900000</v>
      </c>
      <c r="L58" t="str">
        <v>Lifestyle</v>
      </c>
      <c r="M58" t="str">
        <v>Frederick's of Hollywood</v>
      </c>
      <c r="N58" t="str">
        <v>Hilcorp</v>
      </c>
      <c r="O58" t="str">
        <v>Merch</v>
      </c>
      <c r="P58" t="str">
        <v>Christina M</v>
      </c>
      <c r="Q58" t="str">
        <v>Pamela</v>
      </c>
      <c r="R58" t="str">
        <v>Nick/Jarrod</v>
      </c>
      <c r="S58" s="56">
        <v>42805</v>
      </c>
      <c r="T58" s="29">
        <v>180000</v>
      </c>
      <c r="U58" s="29">
        <v>180000</v>
      </c>
      <c r="V58" s="29">
        <v>180000</v>
      </c>
      <c r="W58" s="29">
        <v>180000</v>
      </c>
      <c r="X58" s="29">
        <v>180000</v>
      </c>
      <c r="Y58" s="29">
        <v>900000</v>
      </c>
    </row>
    <row r="59" spans="1:25" x14ac:dyDescent="0.3">
      <c r="L59" t="str">
        <v>Entertainment</v>
      </c>
      <c r="M59" t="str">
        <v>Marilyn Monroe</v>
      </c>
      <c r="N59" t="str">
        <v>TDIndustries</v>
      </c>
      <c r="O59" t="str">
        <v>NIL</v>
      </c>
      <c r="P59" t="str">
        <v>Amie K</v>
      </c>
      <c r="Q59" t="str">
        <v>Bridgette</v>
      </c>
      <c r="R59" t="str">
        <v>Julie/Ken</v>
      </c>
      <c r="S59" s="56">
        <v>42751</v>
      </c>
      <c r="T59" s="29">
        <v>180000</v>
      </c>
      <c r="U59" s="29">
        <v>180000</v>
      </c>
      <c r="V59" s="29">
        <v>180000</v>
      </c>
      <c r="W59" s="29">
        <v>180000</v>
      </c>
      <c r="X59" s="29">
        <v>180000</v>
      </c>
      <c r="Y59" s="29">
        <v>900000</v>
      </c>
    </row>
    <row r="60" spans="1:25" x14ac:dyDescent="0.3">
      <c r="L60" t="str">
        <v>Lifestyle</v>
      </c>
      <c r="M60" t="str">
        <v>Jones New York</v>
      </c>
      <c r="N60" t="str">
        <v>Baker Donelson</v>
      </c>
      <c r="O60" t="str">
        <v>Merch</v>
      </c>
      <c r="P60" t="str">
        <v>Christina M</v>
      </c>
      <c r="Q60" t="str">
        <v>Bridgette</v>
      </c>
      <c r="R60" t="str">
        <v>Nick/Jarrod</v>
      </c>
      <c r="S60" s="56">
        <v>42864</v>
      </c>
      <c r="T60" s="29">
        <v>180000</v>
      </c>
      <c r="U60" s="29">
        <v>180000</v>
      </c>
      <c r="V60" s="29">
        <v>180000</v>
      </c>
      <c r="W60" s="29">
        <v>180000</v>
      </c>
      <c r="X60" s="29">
        <v>180000</v>
      </c>
      <c r="Y60" s="29">
        <v>900000</v>
      </c>
    </row>
  </sheetData>
  <conditionalFormatting sqref="B14:G14 B15:H33 B39:G39 J39 B40:H58">
    <cfRule type="containsBlanks" dxfId="0" priority="10">
      <formula>LEN(TRIM(B14))=0</formula>
    </cfRule>
  </conditionalFormatting>
  <printOptions horizontalCentered="1"/>
  <pageMargins left="0.25" right="0.25" top="0.25" bottom="0.25" header="0.3" footer="0.3"/>
  <pageSetup scale="7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C7A00D-BE14-452B-AA3D-A9EDDB64D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Deal Detail</vt:lpstr>
      <vt:lpstr>(1) Execution by Person by Year</vt:lpstr>
      <vt:lpstr>(2)Execution by Pillar by Month</vt:lpstr>
      <vt:lpstr>(3) Top 20 Deals</vt:lpstr>
      <vt:lpstr>'Deal Detail'!Print_Titles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Mason</dc:creator>
  <cp:lastModifiedBy>Emily Ure</cp:lastModifiedBy>
  <cp:lastPrinted>2019-07-10T15:49:14Z</cp:lastPrinted>
  <dcterms:created xsi:type="dcterms:W3CDTF">2017-07-14T04:38:39Z</dcterms:created>
  <dcterms:modified xsi:type="dcterms:W3CDTF">2024-11-03T02:16:29Z</dcterms:modified>
</cp:coreProperties>
</file>