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c.moura\Dropbox\EUTAX CRS Project\"/>
    </mc:Choice>
  </mc:AlternateContent>
  <xr:revisionPtr revIDLastSave="0" documentId="13_ncr:1_{F98034C1-9E94-42C8-80F7-E53F2E891C51}" xr6:coauthVersionLast="36" xr6:coauthVersionMax="47" xr10:uidLastSave="{00000000-0000-0000-0000-000000000000}"/>
  <bookViews>
    <workbookView xWindow="0" yWindow="-120" windowWidth="28800" windowHeight="11148" activeTab="1" xr2:uid="{2AF89A78-6493-427D-A1A8-A90DFB404280}"/>
  </bookViews>
  <sheets>
    <sheet name="BEL_BRA" sheetId="2" r:id="rId1"/>
    <sheet name="CAN_CZE" sheetId="15" r:id="rId2"/>
    <sheet name="DEU" sheetId="21" r:id="rId3"/>
    <sheet name="DNK" sheetId="5" r:id="rId4"/>
    <sheet name="ESP_EST" sheetId="6" r:id="rId5"/>
    <sheet name="GBR_HUN" sheetId="8" r:id="rId6"/>
    <sheet name="JPN_NOR" sheetId="16" r:id="rId7"/>
    <sheet name="POL" sheetId="11" r:id="rId8"/>
    <sheet name="SVN" sheetId="20" r:id="rId9"/>
    <sheet name="SWE_ZAF" sheetId="13" r:id="rId10"/>
    <sheet name="xrates" sheetId="19" r:id="rId11"/>
  </sheets>
  <externalReferences>
    <externalReference r:id="rId12"/>
    <externalReference r:id="rId13"/>
    <externalReference r:id="rId14"/>
    <externalReference r:id="rId15"/>
    <externalReference r:id="rId16"/>
    <externalReference r:id="rId17"/>
    <externalReference r:id="rId18"/>
  </externalReferences>
  <definedNames>
    <definedName name="_10000">[1]Регион!#REF!</definedName>
    <definedName name="_1080">[2]Регион!#REF!</definedName>
    <definedName name="_1090">[2]Регион!#REF!</definedName>
    <definedName name="_1100">[2]Регион!#REF!</definedName>
    <definedName name="_1110">[2]Регион!#REF!</definedName>
    <definedName name="_2">[1]Регион!#REF!</definedName>
    <definedName name="_2010">#REF!</definedName>
    <definedName name="_2080">[2]Регион!#REF!</definedName>
    <definedName name="_2090">[2]Регион!#REF!</definedName>
    <definedName name="_2100">[2]Регион!#REF!</definedName>
    <definedName name="_2110">[2]Регион!#REF!</definedName>
    <definedName name="_3080">[2]Регион!#REF!</definedName>
    <definedName name="_3090">[2]Регион!#REF!</definedName>
    <definedName name="_3100">[2]Регион!#REF!</definedName>
    <definedName name="_3110">[2]Регион!#REF!</definedName>
    <definedName name="_4080">[2]Регион!#REF!</definedName>
    <definedName name="_4090">[2]Регион!#REF!</definedName>
    <definedName name="_4100">[2]Регион!#REF!</definedName>
    <definedName name="_4110">[2]Регион!#REF!</definedName>
    <definedName name="_5080">[2]Регион!#REF!</definedName>
    <definedName name="_5090">[2]Регион!#REF!</definedName>
    <definedName name="_5100">[2]Регион!#REF!</definedName>
    <definedName name="_5110">[2]Регион!#REF!</definedName>
    <definedName name="_6080">[2]Регион!#REF!</definedName>
    <definedName name="_6090">[2]Регион!#REF!</definedName>
    <definedName name="_6100">[2]Регион!#REF!</definedName>
    <definedName name="_6110">[2]Регион!#REF!</definedName>
    <definedName name="_7031_1">[2]Регион!#REF!</definedName>
    <definedName name="_7031_2">[2]Регион!#REF!</definedName>
    <definedName name="_7032_1">[2]Регион!#REF!</definedName>
    <definedName name="_7032_2">[2]Регион!#REF!</definedName>
    <definedName name="_7033_1">[2]Регион!#REF!</definedName>
    <definedName name="_7033_2">[2]Регион!#REF!</definedName>
    <definedName name="_7034_1">[2]Регион!#REF!</definedName>
    <definedName name="_7034_2">[2]Регион!#REF!</definedName>
    <definedName name="A2298668K">[3]AustralianNA2!$DF$1:$DF$10,[3]AustralianNA2!$DF$12:$DF$244</definedName>
    <definedName name="A2302665R_Latest">[3]AustralianNA!$CB$243</definedName>
    <definedName name="A2302667V">[3]AustralianNA!$CD$1:$CD$10,[3]AustralianNA!$CD$11:$CD$243</definedName>
    <definedName name="A2303329W_Latest">[3]AustralianNA!$S$244</definedName>
    <definedName name="A2303331J">[3]AustralianNA!$T$1:$T$10,[3]AustralianNA!$T$12:$T$244</definedName>
    <definedName name="A2303331J_Data">[3]AustralianNA!$T$12:$T$244</definedName>
    <definedName name="A2303331J_Latest">[3]AustralianNA!$T$244</definedName>
    <definedName name="A2303335T">[3]AustralianNA!$V$1:$V$10,[3]AustralianNA!$V$12:$V$244</definedName>
    <definedName name="A2303335T_Data">[3]AustralianNA!$V$12:$V$244</definedName>
    <definedName name="A2303335T_Latest">[3]AustralianNA!$V$244</definedName>
    <definedName name="A2303337W">[3]AustralianNA!$W$1:$W$10,[3]AustralianNA!$W$12:$W$244</definedName>
    <definedName name="A2303337W_Data">[3]AustralianNA!$W$12:$W$244</definedName>
    <definedName name="A2303339A">[3]AustralianNA!$X$1:$X$10,[3]AustralianNA!$X$12:$X$244</definedName>
    <definedName name="A2303339A_Data">[3]AustralianNA!$X$12:$X$244</definedName>
    <definedName name="A2303339A_Latest">[3]AustralianNA!$X$244</definedName>
    <definedName name="A2303341L">[3]AustralianNA!$Y$1:$Y$10,[3]AustralianNA!$Y$12:$Y$244</definedName>
    <definedName name="A2303341L_Latest">[3]AustralianNA!$Y$244</definedName>
    <definedName name="A2303345W">[3]AustralianNA!$AA$1:$AA$10,[3]AustralianNA!$AA$12:$AA$244</definedName>
    <definedName name="A2303345W_Data">[3]AustralianNA!$AA$12:$AA$244</definedName>
    <definedName name="A2303347A">[3]AustralianNA!$AB$1:$AB$10,[3]AustralianNA!$AB$12:$AB$244</definedName>
    <definedName name="A2303347A_Data">[3]AustralianNA!$AB$12:$AB$244</definedName>
    <definedName name="A2303347A_Latest">[3]AustralianNA!$AB$244</definedName>
    <definedName name="A2303349F_Data">[3]AustralianNA!$AC$12:$AC$244</definedName>
    <definedName name="A2303349F_Latest">[3]AustralianNA!$AC$244</definedName>
    <definedName name="A2303351T">[3]AustralianNA!$AD$1:$AD$10,[3]AustralianNA!$AD$12:$AD$244</definedName>
    <definedName name="A2303351T_Latest">[3]AustralianNA!$AD$244</definedName>
    <definedName name="A2303353W">[3]AustralianNA!$AE$1:$AE$10,[3]AustralianNA!$AE$12:$AE$244</definedName>
    <definedName name="A2303353W_Data">[3]AustralianNA!$AE$12:$AE$244</definedName>
    <definedName name="A2303353W_Latest">[3]AustralianNA!$AE$244</definedName>
    <definedName name="A2303355A_Data">[3]AustralianNA!$AG$107:$AG$244</definedName>
    <definedName name="A2303355A_Latest">[3]AustralianNA!$AG$244</definedName>
    <definedName name="A2303357F">[3]AustralianNA!$AH$1:$AH$10,[3]AustralianNA!$AH$107:$AH$244</definedName>
    <definedName name="A2303357F_Latest">[3]AustralianNA!$AH$244</definedName>
    <definedName name="A2303359K">[3]AustralianNA!$AI$1:$AI$10,[3]AustralianNA!$AI$11:$AI$244</definedName>
    <definedName name="A2303359K_Data">[3]AustralianNA!$AI$11:$AI$244</definedName>
    <definedName name="A2303359K_Latest">[3]AustralianNA!$AI$244</definedName>
    <definedName name="A2303363A">[3]AustralianNA!$AK$1:$AK$10,[3]AustralianNA!$AK$11:$AK$244</definedName>
    <definedName name="A2303363A_Data">[3]AustralianNA!$AK$11:$AK$244</definedName>
    <definedName name="A2303363A_Latest">[3]AustralianNA!$AK$244</definedName>
    <definedName name="A2303365F">[3]AustralianNA!$AL$1:$AL$10,[3]AustralianNA!$AL$11:$AL$244</definedName>
    <definedName name="A2303365F_Data">[3]AustralianNA!$AL$11:$AL$244</definedName>
    <definedName name="A2303365F_Latest">[3]AustralianNA!$AL$244</definedName>
    <definedName name="A2303367K">[3]AustralianNA!$AM$1:$AM$10,[3]AustralianNA!$AM$11:$AM$244</definedName>
    <definedName name="A2303367K_Data">[3]AustralianNA!$AM$11:$AM$244</definedName>
    <definedName name="A2303367K_Latest">[3]AustralianNA!$AM$244</definedName>
    <definedName name="A2303369R">[3]AustralianNA!$AN$1:$AN$10,[3]AustralianNA!$AN$11:$AN$244</definedName>
    <definedName name="A2303369R_Data">[3]AustralianNA!$AN$11:$AN$244</definedName>
    <definedName name="A2303369R_Latest">[3]AustralianNA!$AN$244</definedName>
    <definedName name="A2303373F">[3]AustralianNA!$AP$1:$AP$10,[3]AustralianNA!$AP$11:$AP$244</definedName>
    <definedName name="A2303373F_Data">[3]AustralianNA!$AP$11:$AP$244</definedName>
    <definedName name="A2303373F_Latest">[3]AustralianNA!$AP$244</definedName>
    <definedName name="A2303375K">[3]AustralianNA!$AQ$1:$AQ$10,[3]AustralianNA!$AQ$11:$AQ$244</definedName>
    <definedName name="A2303375K_Data">[3]AustralianNA!$AQ$11:$AQ$244</definedName>
    <definedName name="A2303375K_Latest">[3]AustralianNA!$AQ$244</definedName>
    <definedName name="A2303377R">[3]AustralianNA!$AR$1:$AR$10,[3]AustralianNA!$AR$11:$AR$244</definedName>
    <definedName name="A2303377R_Data">[3]AustralianNA!$AR$11:$AR$244</definedName>
    <definedName name="A2303377R_Latest">[3]AustralianNA!$AR$244</definedName>
    <definedName name="A2303379V">[3]AustralianNA!$AS$1:$AS$10,[3]AustralianNA!$AS$11:$AS$244</definedName>
    <definedName name="A2303379V_Data">[3]AustralianNA!$AS$11:$AS$244</definedName>
    <definedName name="A2303379V_Latest">[3]AustralianNA!$AS$244</definedName>
    <definedName name="A2303381F">[3]AustralianNA!$AT$1:$AT$10,[3]AustralianNA!$AT$11:$AT$244</definedName>
    <definedName name="A2303381F_Data">[3]AustralianNA!$AT$11:$AT$244</definedName>
    <definedName name="A2303381F_Latest">[3]AustralianNA!$AT$244</definedName>
    <definedName name="A2303383K">[3]AustralianNA!$AU$1:$AU$10,[3]AustralianNA!$AU$11:$AU$244</definedName>
    <definedName name="A2303383K_Data">[3]AustralianNA!$AU$11:$AU$244</definedName>
    <definedName name="A2303383K_Latest">[3]AustralianNA!$AU$244</definedName>
    <definedName name="A2303385R">[3]AustralianNA!$AW$1:$AW$10,[3]AustralianNA!$AW$108:$AW$244</definedName>
    <definedName name="A2303385R_Data">[3]AustralianNA!$AW$108:$AW$244</definedName>
    <definedName name="A2303385R_Latest">[3]AustralianNA!$AW$244</definedName>
    <definedName name="A2303387V">[3]AustralianNA!$AX$1:$AX$10,[3]AustralianNA!$AX$108:$AX$244</definedName>
    <definedName name="A2303387V_Data">[3]AustralianNA!$AX$108:$AX$244</definedName>
    <definedName name="A2303387V_Latest">[3]AustralianNA!$AX$244</definedName>
    <definedName name="A2303389X">[3]AustralianNA!$AY$1:$AY$10,[3]AustralianNA!$AY$12:$AY$244</definedName>
    <definedName name="A2303389X_Data">[3]AustralianNA!$AY$12:$AY$244</definedName>
    <definedName name="A2303389X_Latest">[3]AustralianNA!$AY$244</definedName>
    <definedName name="A2303393R">[3]AustralianNA!$BA$1:$BA$10,[3]AustralianNA!$BA$12:$BA$244</definedName>
    <definedName name="A2303393R_Data">[3]AustralianNA!$BA$12:$BA$244</definedName>
    <definedName name="A2303393R_Latest">[3]AustralianNA!$BA$244</definedName>
    <definedName name="A2303395V">[3]AustralianNA!$BB$1:$BB$10,[3]AustralianNA!$BB$12:$BB$244</definedName>
    <definedName name="A2303395V_Data">[3]AustralianNA!$BB$12:$BB$244</definedName>
    <definedName name="A2303395V_Latest">[3]AustralianNA!$BB$244</definedName>
    <definedName name="A2303397X">[3]AustralianNA!$BC$1:$BC$10,[3]AustralianNA!$BC$12:$BC$244</definedName>
    <definedName name="A2303397X_Data">[3]AustralianNA!$BC$12:$BC$244</definedName>
    <definedName name="A2303397X_Latest">[3]AustralianNA!$BC$244</definedName>
    <definedName name="A2303399C">[3]AustralianNA!$BD$1:$BD$10,[3]AustralianNA!$BD$12:$BD$244</definedName>
    <definedName name="A2303399C_Data">[3]AustralianNA!$BD$12:$BD$244</definedName>
    <definedName name="A2303399C_Latest">[3]AustralianNA!$BD$244</definedName>
    <definedName name="A2303403J">[3]AustralianNA!$BF$1:$BF$10,[3]AustralianNA!$BF$12:$BF$244</definedName>
    <definedName name="A2303403J_Data">[3]AustralianNA!$BF$12:$BF$244</definedName>
    <definedName name="A2303403J_Latest">[3]AustralianNA!$BF$244</definedName>
    <definedName name="A2303405L">[3]AustralianNA!$BG$1:$BG$10,[3]AustralianNA!$BG$12:$BG$244</definedName>
    <definedName name="A2303405L_Data">[3]AustralianNA!$BG$12:$BG$244</definedName>
    <definedName name="A2303405L_Latest">[3]AustralianNA!$BG$244</definedName>
    <definedName name="A2303407T">[3]AustralianNA!$BH$1:$BH$10,[3]AustralianNA!$BH$12:$BH$244</definedName>
    <definedName name="A2303407T_Data">[3]AustralianNA!$BH$12:$BH$244</definedName>
    <definedName name="A2303407T_Latest">[3]AustralianNA!$BH$244</definedName>
    <definedName name="A2303409W">[3]AustralianNA!$BI$1:$BI$10,[3]AustralianNA!$BI$12:$BI$244</definedName>
    <definedName name="A2303409W_Data">[3]AustralianNA!$BI$12:$BI$244</definedName>
    <definedName name="A2303409W_Latest">[3]AustralianNA!$BI$244</definedName>
    <definedName name="A2303411J">[3]AustralianNA!$BJ$1:$BJ$10,[3]AustralianNA!$BJ$12:$BJ$244</definedName>
    <definedName name="A2303411J_Data">[3]AustralianNA!$BJ$12:$BJ$244</definedName>
    <definedName name="A2303411J_Latest">[3]AustralianNA!$BJ$244</definedName>
    <definedName name="A2303469X">[3]AustralianNA2!$FF$1:$FF$10,[3]AustralianNA2!$FF$71:$FF$244</definedName>
    <definedName name="A2303469X_Data">[3]AustralianNA2!$FF$71:$FF$244</definedName>
    <definedName name="A2303469X_Latest">[3]AustralianNA2!$FF$244</definedName>
    <definedName name="A2303471K">[3]AustralianNA2!$FH$1:$FH$10,[3]AustralianNA2!$FH$11:$FH$244</definedName>
    <definedName name="A2303471K_Data">[3]AustralianNA2!$FH$11:$FH$244</definedName>
    <definedName name="A2303471K_Latest">[3]AustralianNA2!$FH$244</definedName>
    <definedName name="A2303548W">[3]AustralianNA2!$HI$1:$HI$10,[3]AustralianNA2!$HI$72:$HI$244</definedName>
    <definedName name="A2303548W_Data">[3]AustralianNA2!$HI$72:$HI$244</definedName>
    <definedName name="A2303548W_Latest">[3]AustralianNA2!$HI$244</definedName>
    <definedName name="A2303552L">[3]AustralianNA!$B$1:$B$10,[3]AustralianNA!$B$107:$B$244</definedName>
    <definedName name="A2303552L_Data">[3]AustralianNA!$B$107:$B$244</definedName>
    <definedName name="A2303552L_Latest">[3]AustralianNA!$B$244</definedName>
    <definedName name="A2303554T">[3]AustralianNA!$C$1:$C$10,[3]AustralianNA!$C$107:$C$244</definedName>
    <definedName name="A2303554T_Data">[3]AustralianNA!$C$107:$C$244</definedName>
    <definedName name="A2303554T_Latest">[3]AustralianNA!$C$244</definedName>
    <definedName name="A2303556W">[3]AustralianNA!$D$1:$D$10,[3]AustralianNA!$D$11:$D$244</definedName>
    <definedName name="A2303556W_Data">[3]AustralianNA!$D$11:$D$244</definedName>
    <definedName name="A2303556W_Latest">[3]AustralianNA!$D$244</definedName>
    <definedName name="A2303560L">[3]AustralianNA!$F$1:$F$10,[3]AustralianNA!$F$11:$F$244</definedName>
    <definedName name="A2303560L_Data">[3]AustralianNA!$F$11:$F$244</definedName>
    <definedName name="A2303560L_Latest">[3]AustralianNA!$F$244</definedName>
    <definedName name="A2303562T">[3]AustralianNA!$G$1:$G$10,[3]AustralianNA!$G$11:$G$244</definedName>
    <definedName name="A2303562T_Data">[3]AustralianNA!$G$11:$G$244</definedName>
    <definedName name="A2303562T_Latest">[3]AustralianNA!$G$244</definedName>
    <definedName name="A2303564W">[3]AustralianNA!$H$1:$H$10,[3]AustralianNA!$H$11:$H$244</definedName>
    <definedName name="A2303564W_Data">[3]AustralianNA!$H$11:$H$244</definedName>
    <definedName name="A2303564W_Latest">[3]AustralianNA!$H$244</definedName>
    <definedName name="A2303566A">[3]AustralianNA!$I$1:$I$10,[3]AustralianNA!$I$11:$I$244</definedName>
    <definedName name="A2303566A_Data">[3]AustralianNA!$I$11:$I$244</definedName>
    <definedName name="A2303566A_Latest">[3]AustralianNA!$I$244</definedName>
    <definedName name="A2303570T">[3]AustralianNA!$K$1:$K$10,[3]AustralianNA!$K$11:$K$244</definedName>
    <definedName name="A2303570T_Data">[3]AustralianNA!$K$11:$K$244</definedName>
    <definedName name="A2303570T_Latest">[3]AustralianNA!$K$244</definedName>
    <definedName name="A2303572W">[3]AustralianNA!$L$1:$L$10,[3]AustralianNA!$L$11:$L$244</definedName>
    <definedName name="A2303572W_Data">[3]AustralianNA!$L$11:$L$244</definedName>
    <definedName name="A2303572W_Latest">[3]AustralianNA!$L$244</definedName>
    <definedName name="A2303574A">[3]AustralianNA!$M$1:$M$10,[3]AustralianNA!$M$11:$M$244</definedName>
    <definedName name="A2303574A_Data">[3]AustralianNA!$M$11:$M$244</definedName>
    <definedName name="A2303574A_Latest">[3]AustralianNA!$M$244</definedName>
    <definedName name="A2303576F">[3]AustralianNA!$N$1:$N$10,[3]AustralianNA!$N$11:$N$244</definedName>
    <definedName name="A2303576F_Data">[3]AustralianNA!$N$11:$N$244</definedName>
    <definedName name="A2303576F_Latest">[3]AustralianNA!$N$244</definedName>
    <definedName name="A2303578K">[3]AustralianNA!$O$1:$O$10,[3]AustralianNA!$O$11:$O$244</definedName>
    <definedName name="A2303578K_Data">[3]AustralianNA!$O$11:$O$244</definedName>
    <definedName name="A2303578K_Latest">[3]AustralianNA!$O$244</definedName>
    <definedName name="A2303599W">[3]AustralianNA2!$BA$1:$BA$10,[3]AustralianNA2!$BA$71:$BA$244</definedName>
    <definedName name="A2303599W_Data">[3]AustralianNA2!$BA$71:$BA$244</definedName>
    <definedName name="A2303599W_Latest">[3]AustralianNA2!$BA$244</definedName>
    <definedName name="A2303601W">[3]AustralianNA2!$BC$1:$BC$10,[3]AustralianNA2!$BC$11:$BC$244</definedName>
    <definedName name="A2303601W_Data">[3]AustralianNA2!$BC$11:$BC$244</definedName>
    <definedName name="A2303601W_Latest">[3]AustralianNA2!$BC$244</definedName>
    <definedName name="A2303678V">[3]AustralianNA2!$DD$1:$DD$10,[3]AustralianNA2!$DD$72:$DD$244</definedName>
    <definedName name="A2303678V_Data">[3]AustralianNA2!$DD$72:$DD$244</definedName>
    <definedName name="A2303678V_Latest">[3]AustralianNA2!$DD$244</definedName>
    <definedName name="A2304030W">[3]AustralianNA3!$BZ$1:$BZ$10,[3]AustralianNA3!$BZ$15:$BZ$244</definedName>
    <definedName name="A2304030W_Data">[3]AustralianNA3!$BZ$15:$BZ$244</definedName>
    <definedName name="A2304030W_Latest">[3]AustralianNA3!$BZ$244</definedName>
    <definedName name="A2304322X">[3]AustralianNA!$AF$1:$AF$10,[3]AustralianNA!$AF$12:$AF$244</definedName>
    <definedName name="A2304322X_Data">[3]AustralianNA!$AF$12:$AF$244</definedName>
    <definedName name="A2304322X_Latest">[3]AustralianNA!$AF$244</definedName>
    <definedName name="A2304334J">[3]AustralianNA2!$BD$1:$BD$10,[3]AustralianNA2!$BD$11:$BD$244</definedName>
    <definedName name="A2304334J_Data">[3]AustralianNA2!$BD$11:$BD$244</definedName>
    <definedName name="A2304334J_Latest">[3]AustralianNA2!$BD$244</definedName>
    <definedName name="A2304350J">[3]AustralianNA!$Q$1:$Q$10,[3]AustralianNA!$Q$11:$Q$244</definedName>
    <definedName name="A2304350J_Data">[3]AustralianNA!$Q$11:$Q$244</definedName>
    <definedName name="A2304350J_Latest">[3]AustralianNA!$Q$244</definedName>
    <definedName name="A2304370T">[3]AustralianNA2!$HK$1:$HK$10,[3]AustralianNA2!$HK$12:$HK$244</definedName>
    <definedName name="A2304370T_Data">[3]AustralianNA2!$HK$12:$HK$244</definedName>
    <definedName name="A2304370T_Latest">[3]AustralianNA2!$HK$244</definedName>
    <definedName name="A2304386K">[3]AustralianNA!$BK$1:$BK$10,[3]AustralianNA!$BK$12:$BK$244</definedName>
    <definedName name="A2304386K_Data">[3]AustralianNA!$BK$12:$BK$244</definedName>
    <definedName name="A2304386K_Latest">[3]AustralianNA!$BK$244</definedName>
    <definedName name="A2304402X">[3]AustralianNA2!$FI$1:$FI$10,[3]AustralianNA2!$FI$11:$FI$244</definedName>
    <definedName name="A2304402X_Data">[3]AustralianNA2!$FI$11:$FI$244</definedName>
    <definedName name="A2304402X_Latest">[3]AustralianNA2!$FI$244</definedName>
    <definedName name="A2304418T">[3]AustralianNA!$AV$1:$AV$10,[3]AustralianNA!$AV$11:$AV$244</definedName>
    <definedName name="A2304418T_Data">[3]AustralianNA!$AV$11:$AV$244</definedName>
    <definedName name="A2304418T_Latest">[3]AustralianNA!$AV$244</definedName>
    <definedName name="A2323348A">[3]AustralianNA3!$V$1:$V$10,[3]AustralianNA3!$V$71:$V$244</definedName>
    <definedName name="A2323348A_Data">[3]AustralianNA3!$V$71:$V$244</definedName>
    <definedName name="A2323348A_Latest">[3]AustralianNA3!$V$244</definedName>
    <definedName name="A2323349C">[3]AustralianNA3!$CV$1:$CV$10,[3]AustralianNA3!$CV$72:$CV$243</definedName>
    <definedName name="A2323349C_Data">[3]AustralianNA3!$CV$72:$CV$243</definedName>
    <definedName name="A2323349C_Latest">[3]AustralianNA3!$CV$243</definedName>
    <definedName name="A2323350L">[3]AustralianNA2!$HJ$1:$HJ$10,[3]AustralianNA2!$HJ$72:$HJ$244</definedName>
    <definedName name="A2323350L_Data">[3]AustralianNA2!$HJ$72:$HJ$244</definedName>
    <definedName name="A2323350L_Latest">[3]AustralianNA2!$HJ$244</definedName>
    <definedName name="A2323352T">[3]AustralianNA3!$BY$1:$BY$10,[3]AustralianNA3!$BY$72:$BY$244</definedName>
    <definedName name="A2323352T_Data">[3]AustralianNA3!$BY$72:$BY$244</definedName>
    <definedName name="A2323352T_Latest">[3]AustralianNA3!$BY$244</definedName>
    <definedName name="A2323353V">[3]AustralianNA2!$FG$1:$FG$10,[3]AustralianNA2!$FG$71:$FG$244</definedName>
    <definedName name="A2323353V_Data">[3]AustralianNA2!$FG$71:$FG$244</definedName>
    <definedName name="A2323353V_Latest">[3]AustralianNA2!$FG$244</definedName>
    <definedName name="A2323355X">[3]AustralianNA2!$DE$1:$DE$10,[3]AustralianNA2!$DE$72:$DE$244</definedName>
    <definedName name="A2323355X_Data">[3]AustralianNA2!$DE$72:$DE$244</definedName>
    <definedName name="A2323355X_Latest">[3]AustralianNA2!$DE$244</definedName>
    <definedName name="A2323358F">[3]AustralianNA2!$BB$1:$BB$10,[3]AustralianNA2!$BB$71:$BB$244</definedName>
    <definedName name="A2323358F_Data">[3]AustralianNA2!$BB$71:$BB$244</definedName>
    <definedName name="A2323358F_Latest">[3]AustralianNA2!$BB$244</definedName>
    <definedName name="A2323369L">[3]AustralianNA!$BO$1:$BO$10,[3]AustralianNA!$BO$11:$BO$244</definedName>
    <definedName name="A2323369L_Data">[3]AustralianNA!$BO$11:$BO$244</definedName>
    <definedName name="A2323369L_Latest">[3]AustralianNA!$BO$244</definedName>
    <definedName name="A2323370W">[3]AustralianNA!$AZ$1:$AZ$10,[3]AustralianNA!$AZ$12:$AZ$244</definedName>
    <definedName name="A2323370W_Data">[3]AustralianNA!$AZ$12:$AZ$244</definedName>
    <definedName name="A2323370W_Latest">[3]AustralianNA!$AZ$244</definedName>
    <definedName name="A2323372A">[3]AustralianNA!$AJ$1:$AJ$10,[3]AustralianNA!$AJ$11:$AJ$244</definedName>
    <definedName name="A2323372A_Data">[3]AustralianNA!$AJ$11:$AJ$244</definedName>
    <definedName name="A2323372A_Latest">[3]AustralianNA!$AJ$244</definedName>
    <definedName name="A2323374F">[3]AustralianNA!$CC$1:$CC$10,[3]AustralianNA!$CC$11:$CC$243</definedName>
    <definedName name="A2323374F_Data">[3]AustralianNA!$CC$11:$CC$243</definedName>
    <definedName name="A2323374F_Latest">[3]AustralianNA!$CC$243</definedName>
    <definedName name="A2323376K">[3]AustralianNA!$U$1:$U$10,[3]AustralianNA!$U$12:$U$244</definedName>
    <definedName name="A2323376K_Data">[3]AustralianNA!$U$12:$U$244</definedName>
    <definedName name="A2323376K_Latest">[3]AustralianNA!$U$244</definedName>
    <definedName name="A2323378R">[3]AustralianNA!$E$1:$E$10,[3]AustralianNA!$E$11:$E$244</definedName>
    <definedName name="A2323378R_Data">[3]AustralianNA!$E$11:$E$244</definedName>
    <definedName name="A2323378R_Latest">[3]AustralianNA!$E$244</definedName>
    <definedName name="A2529206X">[3]AustralianNA2!$AZ$1:$AZ$10,[3]AustralianNA2!$AZ$71:$AZ$244</definedName>
    <definedName name="A2529206X_Data">[3]AustralianNA2!$AZ$71:$AZ$244</definedName>
    <definedName name="A2529206X_Latest">[3]AustralianNA2!$AZ$244</definedName>
    <definedName name="A2529207A">[3]AustralianNA2!$DC$1:$DC$10,[3]AustralianNA2!$DC$72:$DC$244</definedName>
    <definedName name="A2529207A_Data">[3]AustralianNA2!$DC$72:$DC$244</definedName>
    <definedName name="A2529207A_Latest">[3]AustralianNA2!$DC$244</definedName>
    <definedName name="A2529209F">[3]AustralianNA2!$FE$1:$FE$10,[3]AustralianNA2!$FE$71:$FE$244</definedName>
    <definedName name="A2529209F_Data">[3]AustralianNA2!$FE$71:$FE$244</definedName>
    <definedName name="A2529209F_Latest">[3]AustralianNA2!$FE$244</definedName>
    <definedName name="A2529210R">[3]AustralianNA2!$HH$1:$HH$10,[3]AustralianNA2!$HH$72:$HH$244</definedName>
    <definedName name="A2529210R_Data">[3]AustralianNA2!$HH$72:$HH$244</definedName>
    <definedName name="A2529210R_Latest">[3]AustralianNA2!$HH$244</definedName>
    <definedName name="A2529212V">[3]AustralianNA3!$CT$1:$CT$10,[3]AustralianNA3!$CT$72:$CT$243</definedName>
    <definedName name="A2529212V_Data">[3]AustralianNA3!$CT$72:$CT$243</definedName>
    <definedName name="A2529212V_Latest">[3]AustralianNA3!$CT$243</definedName>
    <definedName name="A2529213W">[3]AustralianNA3!$T$1:$T$10,[3]AustralianNA3!$T$71:$T$244</definedName>
    <definedName name="A2529213W_Data">[3]AustralianNA3!$T$71:$T$244</definedName>
    <definedName name="A2529213W_Latest">[3]AustralianNA3!$T$244</definedName>
    <definedName name="A2529214X">[3]AustralianNA3!$BW$1:$BW$10,[3]AustralianNA3!$BW$72:$BW$244</definedName>
    <definedName name="A2529214X_Data">[3]AustralianNA3!$BW$72:$BW$244</definedName>
    <definedName name="A2529214X_Latest">[3]AustralianNA3!$BW$244</definedName>
    <definedName name="A2716003C">[3]AustralianNA3!$CA$1:$CA$10,[3]AustralianNA3!$CA$72:$CA$243</definedName>
    <definedName name="A2716003C_Data">[3]AustralianNA3!$CA$72:$CA$243</definedName>
    <definedName name="A2716003C_Latest">[3]AustralianNA3!$CA$243</definedName>
    <definedName name="A2716004F">[3]AustralianNA3!$CB$1:$CB$10,[3]AustralianNA3!$CB$72:$CB$243</definedName>
    <definedName name="A2716004F_Data">[3]AustralianNA3!$CB$72:$CB$243</definedName>
    <definedName name="A2716004F_Latest">[3]AustralianNA3!$CB$243</definedName>
    <definedName name="A2716005J">[3]AustralianNA3!$CC$1:$CC$10,[3]AustralianNA3!$CC$72:$CC$243</definedName>
    <definedName name="A2716005J_Data">[3]AustralianNA3!$CC$72:$CC$243</definedName>
    <definedName name="A2716005J_Latest">[3]AustralianNA3!$CC$243</definedName>
    <definedName name="A2716006K">[3]AustralianNA3!$CD$1:$CD$10,[3]AustralianNA3!$CD$72:$CD$243</definedName>
    <definedName name="A2716006K_Data">[3]AustralianNA3!$CD$72:$CD$243</definedName>
    <definedName name="A2716006K_Latest">[3]AustralianNA3!$CD$243</definedName>
    <definedName name="A2716007L">[3]AustralianNA3!$CE$1:$CE$10,[3]AustralianNA3!$CE$72:$CE$243</definedName>
    <definedName name="A2716007L_Data">[3]AustralianNA3!$CE$72:$CE$243</definedName>
    <definedName name="A2716007L_Latest">[3]AustralianNA3!$CE$243</definedName>
    <definedName name="A2716008R">[3]AustralianNA3!$CF$1:$CF$10,[3]AustralianNA3!$CF$72:$CF$243</definedName>
    <definedName name="A2716008R_Data">[3]AustralianNA3!$CF$72:$CF$243</definedName>
    <definedName name="A2716008R_Latest">[3]AustralianNA3!$CF$243</definedName>
    <definedName name="A2716009T">[3]AustralianNA3!$CG$1:$CG$10,[3]AustralianNA3!$CG$72:$CG$243</definedName>
    <definedName name="A2716009T_Data">[3]AustralianNA3!$CG$72:$CG$243</definedName>
    <definedName name="A2716009T_Latest">[3]AustralianNA3!$CG$243</definedName>
    <definedName name="A2716010A">[3]AustralianNA3!$CH$1:$CH$10,[3]AustralianNA3!$CH$72:$CH$243</definedName>
    <definedName name="A2716010A_Data">[3]AustralianNA3!$CH$72:$CH$243</definedName>
    <definedName name="A2716010A_Latest">[3]AustralianNA3!$CH$243</definedName>
    <definedName name="A2716011C">[3]AustralianNA3!$CI$1:$CI$10,[3]AustralianNA3!$CI$72:$CI$243</definedName>
    <definedName name="A2716011C_Data">[3]AustralianNA3!$CI$72:$CI$243</definedName>
    <definedName name="A2716011C_Latest">[3]AustralianNA3!$CI$243</definedName>
    <definedName name="A2716012F">[3]AustralianNA3!$CJ$1:$CJ$10,[3]AustralianNA3!$CJ$72:$CJ$243</definedName>
    <definedName name="A2716012F_Data">[3]AustralianNA3!$CJ$72:$CJ$243</definedName>
    <definedName name="A2716012F_Latest">[3]AustralianNA3!$CJ$243</definedName>
    <definedName name="A2716013J">[3]AustralianNA3!$CK$1:$CK$10,[3]AustralianNA3!$CK$72:$CK$243</definedName>
    <definedName name="A2716013J_Data">[3]AustralianNA3!$CK$72:$CK$243</definedName>
    <definedName name="A2716013J_Latest">[3]AustralianNA3!$CK$243</definedName>
    <definedName name="A2716014K">[3]AustralianNA3!$CL$1:$CL$10,[3]AustralianNA3!$CL$72:$CL$243</definedName>
    <definedName name="A2716014K_Data">[3]AustralianNA3!$CL$72:$CL$243</definedName>
    <definedName name="A2716014K_Latest">[3]AustralianNA3!$CL$243</definedName>
    <definedName name="A2716015L">[3]AustralianNA3!$CM$1:$CM$10,[3]AustralianNA3!$CM$72:$CM$243</definedName>
    <definedName name="A2716015L_Data">[3]AustralianNA3!$CM$72:$CM$243</definedName>
    <definedName name="A2716015L_Latest">[3]AustralianNA3!$CM$243</definedName>
    <definedName name="A2716016R">[3]AustralianNA3!$CN$1:$CN$10,[3]AustralianNA3!$CN$72:$CN$243</definedName>
    <definedName name="A2716016R_Data">[3]AustralianNA3!$CN$72:$CN$243</definedName>
    <definedName name="A2716016R_Latest">[3]AustralianNA3!$CN$243</definedName>
    <definedName name="A2716017T">[3]AustralianNA3!$CO$1:$CO$10,[3]AustralianNA3!$CO$72:$CO$243</definedName>
    <definedName name="A2716017T_Data">[3]AustralianNA3!$CO$72:$CO$243</definedName>
    <definedName name="A2716017T_Latest">[3]AustralianNA3!$CO$243</definedName>
    <definedName name="A2716018V">[3]AustralianNA3!$CP$1:$CP$10,[3]AustralianNA3!$CP$72:$CP$243</definedName>
    <definedName name="A2716018V_Data">[3]AustralianNA3!$CP$72:$CP$243</definedName>
    <definedName name="A2716018V_Latest">[3]AustralianNA3!$CP$243</definedName>
    <definedName name="A2716019W">[3]AustralianNA3!$CQ$1:$CQ$10,[3]AustralianNA3!$CQ$72:$CQ$243</definedName>
    <definedName name="A2716019W_Data">[3]AustralianNA3!$CQ$72:$CQ$243</definedName>
    <definedName name="A2716019W_Latest">[3]AustralianNA3!$CQ$243</definedName>
    <definedName name="A2716020F">[3]AustralianNA3!$CR$1:$CR$10,[3]AustralianNA3!$CR$72:$CR$243</definedName>
    <definedName name="A2716020F_Data">[3]AustralianNA3!$CR$72:$CR$243</definedName>
    <definedName name="A2716020F_Latest">[3]AustralianNA3!$CR$243</definedName>
    <definedName name="A2716021J">[3]AustralianNA3!$CS$1:$CS$10,[3]AustralianNA3!$CS$72:$CS$243</definedName>
    <definedName name="A2716021J_Data">[3]AustralianNA3!$CS$72:$CS$243</definedName>
    <definedName name="A2716021J_Latest">[3]AustralianNA3!$CS$243</definedName>
    <definedName name="A2716040R">[3]AustralianNA2!$FL$1:$FL$10,[3]AustralianNA2!$FL$72:$FL$244</definedName>
    <definedName name="A2716040R_Data">[3]AustralianNA2!$FL$72:$FL$244</definedName>
    <definedName name="A2716040R_Latest">[3]AustralianNA2!$FL$244</definedName>
    <definedName name="A2716041T">[3]AustralianNA2!$FJ$1:$FJ$10,[3]AustralianNA2!$FJ$72:$FJ$244</definedName>
    <definedName name="A2716041T_Data">[3]AustralianNA2!$FJ$72:$FJ$244</definedName>
    <definedName name="A2716041T_Latest">[3]AustralianNA2!$FJ$244</definedName>
    <definedName name="A2716042V">[3]AustralianNA2!$FK$1:$FK$10,[3]AustralianNA2!$FK$72:$FK$244</definedName>
    <definedName name="A2716042V_Data">[3]AustralianNA2!$FK$72:$FK$244</definedName>
    <definedName name="A2716042V_Latest">[3]AustralianNA2!$FK$244</definedName>
    <definedName name="A2716043W">[3]AustralianNA2!$FS$1:$FS$10,[3]AustralianNA2!$FS$72:$FS$244</definedName>
    <definedName name="A2716043W_Data">[3]AustralianNA2!$FS$72:$FS$244</definedName>
    <definedName name="A2716043W_Latest">[3]AustralianNA2!$FS$244</definedName>
    <definedName name="A2716044X">[3]AustralianNA2!$FR$1:$FR$10,[3]AustralianNA2!$FR$116:$FR$244</definedName>
    <definedName name="A2716044X_Data">[3]AustralianNA2!$FR$116:$FR$244</definedName>
    <definedName name="A2716044X_Latest">[3]AustralianNA2!$FR$244</definedName>
    <definedName name="A2716045A">[3]AustralianNA2!$FQ$1:$FQ$10,[3]AustralianNA2!$FQ$72:$FQ$244</definedName>
    <definedName name="A2716045A_Data">[3]AustralianNA2!$FQ$72:$FQ$244</definedName>
    <definedName name="A2716045A_Latest">[3]AustralianNA2!$FQ$244</definedName>
    <definedName name="A2716046C">[3]AustralianNA2!$FY$1:$FY$10,[3]AustralianNA2!$FY$72:$FY$244</definedName>
    <definedName name="A2716046C_Data">[3]AustralianNA2!$FY$72:$FY$244</definedName>
    <definedName name="A2716046C_Latest">[3]AustralianNA2!$FY$244</definedName>
    <definedName name="A2716047F">[3]AustralianNA2!$FT$1:$FT$10,[3]AustralianNA2!$FT$84:$FT$244</definedName>
    <definedName name="A2716047F_Data">[3]AustralianNA2!$FT$84:$FT$244</definedName>
    <definedName name="A2716047F_Latest">[3]AustralianNA2!$FT$244</definedName>
    <definedName name="A2716048J">[3]AustralianNA2!$FV$1:$FV$10,[3]AustralianNA2!$FV$84:$FV$244</definedName>
    <definedName name="A2716048J_Data">[3]AustralianNA2!$FV$84:$FV$244</definedName>
    <definedName name="A2716048J_Latest">[3]AustralianNA2!$FV$244</definedName>
    <definedName name="A2716049K">[3]AustralianNA2!$FW$1:$FW$10,[3]AustralianNA2!$FW$84:$FW$244</definedName>
    <definedName name="A2716049K_Data">[3]AustralianNA2!$FW$84:$FW$244</definedName>
    <definedName name="A2716049K_Latest">[3]AustralianNA2!$FW$244</definedName>
    <definedName name="A2716051W">[3]AustralianNA2!$FU$1:$FU$10,[3]AustralianNA2!$FU$84:$FU$244</definedName>
    <definedName name="A2716051W_Data">[3]AustralianNA2!$FU$84:$FU$244</definedName>
    <definedName name="A2716051W_Latest">[3]AustralianNA2!$FU$244</definedName>
    <definedName name="A2716055F">[3]AustralianNA2!$GC$1:$GC$10,[3]AustralianNA2!$GC$72:$GC$244</definedName>
    <definedName name="A2716055F_Data">[3]AustralianNA2!$GC$72:$GC$244</definedName>
    <definedName name="A2716055F_Latest">[3]AustralianNA2!$GC$244</definedName>
    <definedName name="A2716056J">[3]AustralianNA2!$FZ$1:$FZ$10,[3]AustralianNA2!$FZ$72:$FZ$244</definedName>
    <definedName name="A2716056J_Data">[3]AustralianNA2!$FZ$72:$FZ$244</definedName>
    <definedName name="A2716056J_Latest">[3]AustralianNA2!$FZ$244</definedName>
    <definedName name="A2716057K">[3]AustralianNA2!$GA$1:$GA$10,[3]AustralianNA2!$GA$72:$GA$244</definedName>
    <definedName name="A2716057K_Data">[3]AustralianNA2!$GA$72:$GA$244</definedName>
    <definedName name="A2716057K_Latest">[3]AustralianNA2!$GA$244</definedName>
    <definedName name="A2716058L">[3]AustralianNA2!$GB$1:$GB$10,[3]AustralianNA2!$GB$72:$GB$244</definedName>
    <definedName name="A2716058L_Data">[3]AustralianNA2!$GB$72:$GB$244</definedName>
    <definedName name="A2716058L_Latest">[3]AustralianNA2!$GB$244</definedName>
    <definedName name="A2716059R">[3]AustralianNA2!$GG$1:$GG$10,[3]AustralianNA2!$GG$72:$GG$244</definedName>
    <definedName name="A2716059R_Data">[3]AustralianNA2!$GG$72:$GG$244</definedName>
    <definedName name="A2716059R_Latest">[3]AustralianNA2!$GG$244</definedName>
    <definedName name="A2716060X">[3]AustralianNA2!$GH$1:$GH$10,[3]AustralianNA2!$GH$72:$GH$244</definedName>
    <definedName name="A2716060X_Data">[3]AustralianNA2!$GH$72:$GH$244</definedName>
    <definedName name="A2716060X_Latest">[3]AustralianNA2!$GH$244</definedName>
    <definedName name="A2716061A">[3]AustralianNA2!$GI$1:$GI$10,[3]AustralianNA2!$GI$72:$GI$244</definedName>
    <definedName name="A2716061A_Data">[3]AustralianNA2!$GI$72:$GI$244</definedName>
    <definedName name="A2716061A_Latest">[3]AustralianNA2!$GI$244</definedName>
    <definedName name="A2716062C">[3]AustralianNA2!$GJ$1:$GJ$10,[3]AustralianNA2!$GJ$72:$GJ$244</definedName>
    <definedName name="A2716062C_Data">[3]AustralianNA2!$GJ$72:$GJ$244</definedName>
    <definedName name="A2716062C_Latest">[3]AustralianNA2!$GJ$244</definedName>
    <definedName name="A2716063F">[3]AustralianNA2!$GO$1:$GO$10,[3]AustralianNA2!$GO$72:$GO$244</definedName>
    <definedName name="A2716063F_Data">[3]AustralianNA2!$GO$72:$GO$244</definedName>
    <definedName name="A2716063F_Latest">[3]AustralianNA2!$GO$244</definedName>
    <definedName name="A2716064J">[3]AustralianNA2!$GL$1:$GL$10,[3]AustralianNA2!$GL$72:$GL$244</definedName>
    <definedName name="A2716064J_Data">[3]AustralianNA2!$GL$72:$GL$244</definedName>
    <definedName name="A2716064J_Latest">[3]AustralianNA2!$GL$244</definedName>
    <definedName name="A2716067R">[3]AustralianNA2!$GN$1:$GN$10,[3]AustralianNA2!$GN$72:$GN$244</definedName>
    <definedName name="A2716067R_Data">[3]AustralianNA2!$GN$72:$GN$244</definedName>
    <definedName name="A2716067R_Latest">[3]AustralianNA2!$GN$244</definedName>
    <definedName name="A2716068T">[3]AustralianNA2!$GR$1:$GR$10,[3]AustralianNA2!$GR$72:$GR$244</definedName>
    <definedName name="A2716068T_Data">[3]AustralianNA2!$GR$72:$GR$244</definedName>
    <definedName name="A2716068T_Latest">[3]AustralianNA2!$GR$244</definedName>
    <definedName name="A2716069V">[3]AustralianNA2!$GU$1:$GU$10,[3]AustralianNA2!$GU$72:$GU$244</definedName>
    <definedName name="A2716069V_Data">[3]AustralianNA2!$GU$72:$GU$244</definedName>
    <definedName name="A2716069V_Latest">[3]AustralianNA2!$GU$244</definedName>
    <definedName name="A2716070C">[3]AustralianNA2!$GX$1:$GX$10,[3]AustralianNA2!$GX$72:$GX$244</definedName>
    <definedName name="A2716070C_Data">[3]AustralianNA2!$GX$72:$GX$244</definedName>
    <definedName name="A2716070C_Latest">[3]AustralianNA2!$GX$244</definedName>
    <definedName name="A2716071F">[3]AustralianNA2!$HA$1:$HA$10,[3]AustralianNA2!$HA$72:$HA$244</definedName>
    <definedName name="A2716071F_Data">[3]AustralianNA2!$HA$72:$HA$244</definedName>
    <definedName name="A2716071F_Latest">[3]AustralianNA2!$HA$244</definedName>
    <definedName name="A2716072J">[3]AustralianNA2!$HB$1:$HB$10,[3]AustralianNA2!$HB$72:$HB$244</definedName>
    <definedName name="A2716072J_Data">[3]AustralianNA2!$HB$72:$HB$244</definedName>
    <definedName name="A2716072J_Latest">[3]AustralianNA2!$HB$244</definedName>
    <definedName name="A2716073K">[3]AustralianNA2!$HC$1:$HC$10,[3]AustralianNA2!$HC$72:$HC$244</definedName>
    <definedName name="A2716073K_Data">[3]AustralianNA2!$HC$72:$HC$244</definedName>
    <definedName name="A2716073K_Latest">[3]AustralianNA2!$HC$244</definedName>
    <definedName name="A2716074L">[3]AustralianNA2!$HD$1:$HD$10,[3]AustralianNA2!$HD$72:$HD$244</definedName>
    <definedName name="A2716074L_Data">[3]AustralianNA2!$HD$72:$HD$244</definedName>
    <definedName name="A2716074L_Latest">[3]AustralianNA2!$HD$244</definedName>
    <definedName name="A2716075R">[3]AustralianNA2!$HE$1:$HE$10,[3]AustralianNA2!$HE$72:$HE$244</definedName>
    <definedName name="A2716075R_Data">[3]AustralianNA2!$HE$72:$HE$244</definedName>
    <definedName name="A2716075R_Latest">[3]AustralianNA2!$HE$244</definedName>
    <definedName name="A2716076T">[3]AustralianNA2!$HF$1:$HF$10,[3]AustralianNA2!$HF$72:$HF$244</definedName>
    <definedName name="A2716076T_Data">[3]AustralianNA2!$HF$72:$HF$244</definedName>
    <definedName name="A2716076T_Latest">[3]AustralianNA2!$HF$244</definedName>
    <definedName name="A2716077V">[3]AustralianNA2!$HG$1:$HG$10,[3]AustralianNA2!$HG$72:$HG$244</definedName>
    <definedName name="A2716077V_Data">[3]AustralianNA2!$HG$72:$HG$244</definedName>
    <definedName name="A2716077V_Latest">[3]AustralianNA2!$HG$244</definedName>
    <definedName name="A2716120R">[3]AustralianNA3!$AA$1:$AA$10,[3]AustralianNA3!$AA$72:$AA$244</definedName>
    <definedName name="A2716120R_Data">[3]AustralianNA3!$AA$72:$AA$244</definedName>
    <definedName name="A2716120R_Latest">[3]AustralianNA3!$AA$244</definedName>
    <definedName name="A2716121T">[3]AustralianNA3!$Y$1:$Y$10,[3]AustralianNA3!$Y$72:$Y$244</definedName>
    <definedName name="A2716121T_Data">[3]AustralianNA3!$Y$72:$Y$244</definedName>
    <definedName name="A2716121T_Latest">[3]AustralianNA3!$Y$244</definedName>
    <definedName name="A2716122V">[3]AustralianNA3!$Z$1:$Z$10,[3]AustralianNA3!$Z$72:$Z$244</definedName>
    <definedName name="A2716122V_Data">[3]AustralianNA3!$Z$72:$Z$244</definedName>
    <definedName name="A2716122V_Latest">[3]AustralianNA3!$Z$244</definedName>
    <definedName name="A2716123W">[3]AustralianNA3!$AH$1:$AH$10,[3]AustralianNA3!$AH$72:$AH$244</definedName>
    <definedName name="A2716123W_Data">[3]AustralianNA3!$AH$72:$AH$244</definedName>
    <definedName name="A2716123W_Latest">[3]AustralianNA3!$AH$244</definedName>
    <definedName name="A2716124X">[3]AustralianNA3!$AG$1:$AG$10,[3]AustralianNA3!$AG$116:$AG$244</definedName>
    <definedName name="A2716124X_Data">[3]AustralianNA3!$AG$116:$AG$244</definedName>
    <definedName name="A2716124X_Latest">[3]AustralianNA3!$AG$244</definedName>
    <definedName name="A2716125A">[3]AustralianNA3!$AF$1:$AF$10,[3]AustralianNA3!$AF$72:$AF$244</definedName>
    <definedName name="A2716125A_Data">[3]AustralianNA3!$AF$72:$AF$244</definedName>
    <definedName name="A2716125A_Latest">[3]AustralianNA3!$AF$244</definedName>
    <definedName name="A2716126C">[3]AustralianNA3!$AN$1:$AN$10,[3]AustralianNA3!$AN$72:$AN$244</definedName>
    <definedName name="A2716126C_Data">[3]AustralianNA3!$AN$72:$AN$244</definedName>
    <definedName name="A2716126C_Latest">[3]AustralianNA3!$AN$244</definedName>
    <definedName name="A2716127F">[3]AustralianNA3!$AI$1:$AI$10,[3]AustralianNA3!$AI$84:$AI$244</definedName>
    <definedName name="A2716127F_Data">[3]AustralianNA3!$AI$84:$AI$244</definedName>
    <definedName name="A2716127F_Latest">[3]AustralianNA3!$AI$244</definedName>
    <definedName name="A2716128J">[3]AustralianNA3!$AK$1:$AK$10,[3]AustralianNA3!$AK$84:$AK$244</definedName>
    <definedName name="A2716128J_Data">[3]AustralianNA3!$AK$84:$AK$244</definedName>
    <definedName name="A2716128J_Latest">[3]AustralianNA3!$AK$244</definedName>
    <definedName name="A2716129K">[3]AustralianNA3!$AL$1:$AL$10,[3]AustralianNA3!$AL$84:$AL$244</definedName>
    <definedName name="A2716129K_Data">[3]AustralianNA3!$AL$84:$AL$244</definedName>
    <definedName name="A2716129K_Latest">[3]AustralianNA3!$AL$244</definedName>
    <definedName name="A2716131W">[3]AustralianNA3!$AJ$1:$AJ$10,[3]AustralianNA3!$AJ$84:$AJ$244</definedName>
    <definedName name="A2716131W_Data">[3]AustralianNA3!$AJ$84:$AJ$244</definedName>
    <definedName name="A2716131W_Latest">[3]AustralianNA3!$AJ$244</definedName>
    <definedName name="A2716135F">[3]AustralianNA3!$AR$1:$AR$10,[3]AustralianNA3!$AR$72:$AR$244</definedName>
    <definedName name="A2716135F_Data">[3]AustralianNA3!$AR$72:$AR$244</definedName>
    <definedName name="A2716135F_Latest">[3]AustralianNA3!$AR$244</definedName>
    <definedName name="A2716136J">[3]AustralianNA3!$AO$1:$AO$10,[3]AustralianNA3!$AO$72:$AO$244</definedName>
    <definedName name="A2716136J_Data">[3]AustralianNA3!$AO$72:$AO$244</definedName>
    <definedName name="A2716136J_Latest">[3]AustralianNA3!$AO$244</definedName>
    <definedName name="A2716137K">[3]AustralianNA3!$AP$1:$AP$10,[3]AustralianNA3!$AP$72:$AP$244</definedName>
    <definedName name="A2716137K_Data">[3]AustralianNA3!$AP$72:$AP$244</definedName>
    <definedName name="A2716137K_Latest">[3]AustralianNA3!$AP$244</definedName>
    <definedName name="A2716138L">[3]AustralianNA3!$AQ$1:$AQ$10,[3]AustralianNA3!$AQ$72:$AQ$244</definedName>
    <definedName name="A2716138L_Data">[3]AustralianNA3!$AQ$72:$AQ$244</definedName>
    <definedName name="A2716138L_Latest">[3]AustralianNA3!$AQ$244</definedName>
    <definedName name="A2716139R">[3]AustralianNA3!$AV$1:$AV$10,[3]AustralianNA3!$AV$72:$AV$244</definedName>
    <definedName name="A2716139R_Data">[3]AustralianNA3!$AV$72:$AV$244</definedName>
    <definedName name="A2716139R_Latest">[3]AustralianNA3!$AV$244</definedName>
    <definedName name="A2716140X">[3]AustralianNA3!$AW$1:$AW$10,[3]AustralianNA3!$AW$72:$AW$244</definedName>
    <definedName name="A2716140X_Data">[3]AustralianNA3!$AW$72:$AW$244</definedName>
    <definedName name="A2716140X_Latest">[3]AustralianNA3!$AW$244</definedName>
    <definedName name="A2716141A">[3]AustralianNA3!$AX$1:$AX$10,[3]AustralianNA3!$AX$72:$AX$244</definedName>
    <definedName name="A2716141A_Data">[3]AustralianNA3!$AX$72:$AX$244</definedName>
    <definedName name="A2716141A_Latest">[3]AustralianNA3!$AX$244</definedName>
    <definedName name="A2716142C">[3]AustralianNA3!$AY$1:$AY$10,[3]AustralianNA3!$AY$72:$AY$244</definedName>
    <definedName name="A2716142C_Data">[3]AustralianNA3!$AY$72:$AY$244</definedName>
    <definedName name="A2716142C_Latest">[3]AustralianNA3!$AY$244</definedName>
    <definedName name="A2716143F">[3]AustralianNA3!$BD$1:$BD$10,[3]AustralianNA3!$BD$72:$BD$244</definedName>
    <definedName name="A2716143F_Data">[3]AustralianNA3!$BD$72:$BD$244</definedName>
    <definedName name="A2716143F_Latest">[3]AustralianNA3!$BD$244</definedName>
    <definedName name="A2716144J">[3]AustralianNA3!$BA$1:$BA$10,[3]AustralianNA3!$BA$72:$BA$244</definedName>
    <definedName name="A2716144J_Data">[3]AustralianNA3!$BA$72:$BA$244</definedName>
    <definedName name="A2716144J_Latest">[3]AustralianNA3!$BA$244</definedName>
    <definedName name="A2716147R">[3]AustralianNA3!$BC$1:$BC$10,[3]AustralianNA3!$BC$72:$BC$244</definedName>
    <definedName name="A2716147R_Data">[3]AustralianNA3!$BC$72:$BC$244</definedName>
    <definedName name="A2716147R_Latest">[3]AustralianNA3!$BC$244</definedName>
    <definedName name="A2716148T">[3]AustralianNA3!$BG$1:$BG$10,[3]AustralianNA3!$BG$72:$BG$244</definedName>
    <definedName name="A2716148T_Data">[3]AustralianNA3!$BG$72:$BG$244</definedName>
    <definedName name="A2716148T_Latest">[3]AustralianNA3!$BG$244</definedName>
    <definedName name="A2716149V">[3]AustralianNA3!$BJ$1:$BJ$10,[3]AustralianNA3!$BJ$72:$BJ$244</definedName>
    <definedName name="A2716149V_Data">[3]AustralianNA3!$BJ$72:$BJ$244</definedName>
    <definedName name="A2716149V_Latest">[3]AustralianNA3!$BJ$244</definedName>
    <definedName name="A2716150C">[3]AustralianNA3!$BM$1:$BM$10,[3]AustralianNA3!$BM$72:$BM$244</definedName>
    <definedName name="A2716150C_Data">[3]AustralianNA3!$BM$72:$BM$244</definedName>
    <definedName name="A2716150C_Latest">[3]AustralianNA3!$BM$244</definedName>
    <definedName name="A2716151F">[3]AustralianNA3!$BP$1:$BP$10,[3]AustralianNA3!$BP$72:$BP$244</definedName>
    <definedName name="A2716151F_Data">[3]AustralianNA3!$BP$72:$BP$244</definedName>
    <definedName name="A2716151F_Latest">[3]AustralianNA3!$BP$244</definedName>
    <definedName name="A2716152J">[3]AustralianNA3!$BQ$1:$BQ$10,[3]AustralianNA3!$BQ$72:$BQ$244</definedName>
    <definedName name="A2716152J_Data">[3]AustralianNA3!$BQ$72:$BQ$244</definedName>
    <definedName name="A2716152J_Latest">[3]AustralianNA3!$BQ$244</definedName>
    <definedName name="A2716153K">[3]AustralianNA3!$BS$1:$BS$10,[3]AustralianNA3!$BS$72:$BS$244</definedName>
    <definedName name="A2716153K_Data">[3]AustralianNA3!$BS$72:$BS$244</definedName>
    <definedName name="A2716153K_Latest">[3]AustralianNA3!$BS$244</definedName>
    <definedName name="A2716154L">[3]AustralianNA3!$BT$1:$BT$10,[3]AustralianNA3!$BT$72:$BT$244</definedName>
    <definedName name="A2716154L_Data">[3]AustralianNA3!$BT$72:$BT$244</definedName>
    <definedName name="A2716154L_Latest">[3]AustralianNA3!$BT$244</definedName>
    <definedName name="A2716155R">[3]AustralianNA3!$BU$1:$BU$10,[3]AustralianNA3!$BU$72:$BU$244</definedName>
    <definedName name="A2716155R_Data">[3]AustralianNA3!$BU$72:$BU$244</definedName>
    <definedName name="A2716155R_Latest">[3]AustralianNA3!$BU$244</definedName>
    <definedName name="A2716156T">[3]AustralianNA3!$BV$1:$BV$10,[3]AustralianNA3!$BV$72:$BV$244</definedName>
    <definedName name="A2716156T_Data">[3]AustralianNA3!$BV$72:$BV$244</definedName>
    <definedName name="A2716156T_Latest">[3]AustralianNA3!$BV$244</definedName>
    <definedName name="A2716160J">[3]AustralianNA2!$DI$1:$DI$10,[3]AustralianNA2!$DI$71:$DI$244</definedName>
    <definedName name="A2716160J_Data">[3]AustralianNA2!$DI$71:$DI$244</definedName>
    <definedName name="A2716160J_Latest">[3]AustralianNA2!$DI$244</definedName>
    <definedName name="A2716161K">[3]AustralianNA2!$DG$1:$DG$10,[3]AustralianNA2!$DG$71:$DG$244</definedName>
    <definedName name="A2716161K_Data">[3]AustralianNA2!$DG$71:$DG$244</definedName>
    <definedName name="A2716161K_Latest">[3]AustralianNA2!$DG$244</definedName>
    <definedName name="A2716162L">[3]AustralianNA2!$DH$1:$DH$10,[3]AustralianNA2!$DH$71:$DH$244</definedName>
    <definedName name="A2716162L_Data">[3]AustralianNA2!$DH$71:$DH$244</definedName>
    <definedName name="A2716162L_Latest">[3]AustralianNA2!$DH$244</definedName>
    <definedName name="A2716163R">[3]AustralianNA2!$DP$1:$DP$10,[3]AustralianNA2!$DP$71:$DP$244</definedName>
    <definedName name="A2716163R_Data">[3]AustralianNA2!$DP$71:$DP$244</definedName>
    <definedName name="A2716163R_Latest">[3]AustralianNA2!$DP$244</definedName>
    <definedName name="A2716164T">[3]AustralianNA2!$DO$1:$DO$10,[3]AustralianNA2!$DO$115:$DO$244</definedName>
    <definedName name="A2716164T_Data">[3]AustralianNA2!$DO$115:$DO$244</definedName>
    <definedName name="A2716164T_Latest">[3]AustralianNA2!$DO$244</definedName>
    <definedName name="A2716165V">[3]AustralianNA2!$DN$1:$DN$10,[3]AustralianNA2!$DN$71:$DN$244</definedName>
    <definedName name="A2716165V_Data">[3]AustralianNA2!$DN$71:$DN$244</definedName>
    <definedName name="A2716165V_Latest">[3]AustralianNA2!$DN$244</definedName>
    <definedName name="A2716166W">[3]AustralianNA2!$DV$1:$DV$10,[3]AustralianNA2!$DV$71:$DV$244</definedName>
    <definedName name="A2716166W_Data">[3]AustralianNA2!$DV$71:$DV$244</definedName>
    <definedName name="A2716166W_Latest">[3]AustralianNA2!$DV$244</definedName>
    <definedName name="A2716167X">[3]AustralianNA2!$DQ$1:$DQ$10,[3]AustralianNA2!$DQ$83:$DQ$244</definedName>
    <definedName name="A2716167X_Data">[3]AustralianNA2!$DQ$83:$DQ$244</definedName>
    <definedName name="A2716167X_Latest">[3]AustralianNA2!$DQ$244</definedName>
    <definedName name="A2716168A">[3]AustralianNA2!$DS$1:$DS$10,[3]AustralianNA2!$DS$83:$DS$244</definedName>
    <definedName name="A2716168A_Data">[3]AustralianNA2!$DS$83:$DS$244</definedName>
    <definedName name="A2716168A_Latest">[3]AustralianNA2!$DS$244</definedName>
    <definedName name="A2716169C">[3]AustralianNA2!$DT$1:$DT$10,[3]AustralianNA2!$DT$83:$DT$244</definedName>
    <definedName name="A2716169C_Data">[3]AustralianNA2!$DT$83:$DT$244</definedName>
    <definedName name="A2716169C_Latest">[3]AustralianNA2!$DT$244</definedName>
    <definedName name="A2716171R">[3]AustralianNA2!$DR$1:$DR$10,[3]AustralianNA2!$DR$83:$DR$244</definedName>
    <definedName name="A2716171R_Data">[3]AustralianNA2!$DR$83:$DR$244</definedName>
    <definedName name="A2716171R_Latest">[3]AustralianNA2!$DR$244</definedName>
    <definedName name="A2716175X">[3]AustralianNA2!$DZ$1:$DZ$10,[3]AustralianNA2!$DZ$71:$DZ$244</definedName>
    <definedName name="A2716175X_Data">[3]AustralianNA2!$DZ$71:$DZ$244</definedName>
    <definedName name="A2716175X_Latest">[3]AustralianNA2!$DZ$244</definedName>
    <definedName name="A2716176A">[3]AustralianNA2!$DW$1:$DW$10,[3]AustralianNA2!$DW$71:$DW$244</definedName>
    <definedName name="A2716176A_Data">[3]AustralianNA2!$DW$71:$DW$244</definedName>
    <definedName name="A2716176A_Latest">[3]AustralianNA2!$DW$244</definedName>
    <definedName name="A2716177C">[3]AustralianNA2!$DX$1:$DX$10,[3]AustralianNA2!$DX$71:$DX$244</definedName>
    <definedName name="A2716177C_Data">[3]AustralianNA2!$DX$71:$DX$244</definedName>
    <definedName name="A2716177C_Latest">[3]AustralianNA2!$DX$244</definedName>
    <definedName name="A2716178F">[3]AustralianNA2!$DY$1:$DY$10,[3]AustralianNA2!$DY$71:$DY$244</definedName>
    <definedName name="A2716178F_Data">[3]AustralianNA2!$DY$71:$DY$244</definedName>
    <definedName name="A2716178F_Latest">[3]AustralianNA2!$DY$244</definedName>
    <definedName name="A2716179J">[3]AustralianNA2!$ED$1:$ED$10,[3]AustralianNA2!$ED$71:$ED$244</definedName>
    <definedName name="A2716179J_Data">[3]AustralianNA2!$ED$71:$ED$244</definedName>
    <definedName name="A2716179J_Latest">[3]AustralianNA2!$ED$244</definedName>
    <definedName name="A2716180T">[3]AustralianNA2!$EE$1:$EE$10,[3]AustralianNA2!$EE$71:$EE$244</definedName>
    <definedName name="A2716180T_Data">[3]AustralianNA2!$EE$71:$EE$244</definedName>
    <definedName name="A2716180T_Latest">[3]AustralianNA2!$EE$244</definedName>
    <definedName name="A2716181V">[3]AustralianNA2!$EF$1:$EF$10,[3]AustralianNA2!$EF$71:$EF$244</definedName>
    <definedName name="A2716181V_Data">[3]AustralianNA2!$EF$71:$EF$244</definedName>
    <definedName name="A2716181V_Latest">[3]AustralianNA2!$EF$244</definedName>
    <definedName name="A2716182W">[3]AustralianNA2!$EG$1:$EG$10,[3]AustralianNA2!$EG$71:$EG$244</definedName>
    <definedName name="A2716182W_Data">[3]AustralianNA2!$EG$71:$EG$244</definedName>
    <definedName name="A2716182W_Latest">[3]AustralianNA2!$EG$244</definedName>
    <definedName name="A2716183X">[3]AustralianNA2!$EL$1:$EL$10,[3]AustralianNA2!$EL$71:$EL$244</definedName>
    <definedName name="A2716183X_Data">[3]AustralianNA2!$EL$71:$EL$244</definedName>
    <definedName name="A2716183X_Latest">[3]AustralianNA2!$EL$244</definedName>
    <definedName name="A2716184A">[3]AustralianNA2!$EI$1:$EI$10,[3]AustralianNA2!$EI$71:$EI$244</definedName>
    <definedName name="A2716184A_Data">[3]AustralianNA2!$EI$71:$EI$244</definedName>
    <definedName name="A2716184A_Latest">[3]AustralianNA2!$EI$244</definedName>
    <definedName name="A2716187J">[3]AustralianNA2!$EK$1:$EK$10,[3]AustralianNA2!$EK$71:$EK$244</definedName>
    <definedName name="A2716187J_Data">[3]AustralianNA2!$EK$71:$EK$244</definedName>
    <definedName name="A2716187J_Latest">[3]AustralianNA2!$EK$244</definedName>
    <definedName name="A2716188K">[3]AustralianNA2!$EO$1:$EO$10,[3]AustralianNA2!$EO$71:$EO$244</definedName>
    <definedName name="A2716188K_Data">[3]AustralianNA2!$EO$71:$EO$244</definedName>
    <definedName name="A2716188K_Latest">[3]AustralianNA2!$EO$244</definedName>
    <definedName name="A2716189L">[3]AustralianNA2!$ER$1:$ER$10,[3]AustralianNA2!$ER$71:$ER$244</definedName>
    <definedName name="A2716189L_Data">[3]AustralianNA2!$ER$71:$ER$244</definedName>
    <definedName name="A2716189L_Latest">[3]AustralianNA2!$ER$244</definedName>
    <definedName name="A2716190W">[3]AustralianNA2!$EU$1:$EU$10,[3]AustralianNA2!$EU$71:$EU$244</definedName>
    <definedName name="A2716190W_Data">[3]AustralianNA2!$EU$71:$EU$244</definedName>
    <definedName name="A2716190W_Latest">[3]AustralianNA2!$EU$244</definedName>
    <definedName name="A2716191X">[3]AustralianNA2!$EX$1:$EX$10,[3]AustralianNA2!$EX$71:$EX$244</definedName>
    <definedName name="A2716191X_Data">[3]AustralianNA2!$EX$71:$EX$244</definedName>
    <definedName name="A2716191X_Latest">[3]AustralianNA2!$EX$244</definedName>
    <definedName name="A2716192A">[3]AustralianNA2!$EZ$1:$EZ$10,[3]AustralianNA2!$EZ$71:$EZ$244</definedName>
    <definedName name="A2716192A_Data">[3]AustralianNA2!$EZ$71:$EZ$244</definedName>
    <definedName name="A2716192A_Latest">[3]AustralianNA2!$EZ$244</definedName>
    <definedName name="A2716193C">[3]AustralianNA2!$FA$1:$FA$10,[3]AustralianNA2!$FA$71:$FA$244</definedName>
    <definedName name="A2716193C_Data">[3]AustralianNA2!$FA$71:$FA$244</definedName>
    <definedName name="A2716193C_Latest">[3]AustralianNA2!$FA$244</definedName>
    <definedName name="A2716194F">[3]AustralianNA2!$FB$1:$FB$10,[3]AustralianNA2!$FB$71:$FB$244</definedName>
    <definedName name="A2716194F_Data">[3]AustralianNA2!$FB$71:$FB$244</definedName>
    <definedName name="A2716194F_Latest">[3]AustralianNA2!$FB$244</definedName>
    <definedName name="A2716195J">[3]AustralianNA2!$FC$1:$FC$10,[3]AustralianNA2!$FC$71:$FC$244</definedName>
    <definedName name="A2716195J_Data">[3]AustralianNA2!$FC$71:$FC$244</definedName>
    <definedName name="A2716195J_Latest">[3]AustralianNA2!$FC$244</definedName>
    <definedName name="A2716196K">[3]AustralianNA2!$FD$1:$FD$10,[3]AustralianNA2!$FD$71:$FD$244</definedName>
    <definedName name="A2716196K_Data">[3]AustralianNA2!$FD$71:$FD$244</definedName>
    <definedName name="A2716196K_Latest">[3]AustralianNA2!$FD$244</definedName>
    <definedName name="A2716241K">[3]AustralianNA2!$HN$1:$HN$10,[3]AustralianNA2!$HN$71:$HN$244</definedName>
    <definedName name="A2716241K_Data">[3]AustralianNA2!$HN$71:$HN$244</definedName>
    <definedName name="A2716241K_Latest">[3]AustralianNA2!$HN$244</definedName>
    <definedName name="A2716242L">[3]AustralianNA2!$HL$1:$HL$10,[3]AustralianNA2!$HL$71:$HL$244</definedName>
    <definedName name="A2716242L_Data">[3]AustralianNA2!$HL$71:$HL$244</definedName>
    <definedName name="A2716242L_Latest">[3]AustralianNA2!$HL$244</definedName>
    <definedName name="A2716243R">[3]AustralianNA2!$HM$1:$HM$10,[3]AustralianNA2!$HM$71:$HM$244</definedName>
    <definedName name="A2716243R_Data">[3]AustralianNA2!$HM$71:$HM$244</definedName>
    <definedName name="A2716243R_Latest">[3]AustralianNA2!$HM$244</definedName>
    <definedName name="A2716244T">[3]AustralianNA2!$HU$1:$HU$10,[3]AustralianNA2!$HU$71:$HU$244</definedName>
    <definedName name="A2716244T_Data">[3]AustralianNA2!$HU$71:$HU$244</definedName>
    <definedName name="A2716244T_Latest">[3]AustralianNA2!$HU$244</definedName>
    <definedName name="A2716245V">[3]AustralianNA2!$HT$1:$HT$10,[3]AustralianNA2!$HT$115:$HT$244</definedName>
    <definedName name="A2716245V_Data">[3]AustralianNA2!$HT$115:$HT$244</definedName>
    <definedName name="A2716245V_Latest">[3]AustralianNA2!$HT$244</definedName>
    <definedName name="A2716246W">[3]AustralianNA2!$HS$1:$HS$10,[3]AustralianNA2!$HS$71:$HS$244</definedName>
    <definedName name="A2716246W_Data">[3]AustralianNA2!$HS$71:$HS$244</definedName>
    <definedName name="A2716246W_Latest">[3]AustralianNA2!$HS$244</definedName>
    <definedName name="A2716247X">[3]AustralianNA2!$IA$1:$IA$10,[3]AustralianNA2!$IA$71:$IA$244</definedName>
    <definedName name="A2716247X_Data">[3]AustralianNA2!$IA$71:$IA$244</definedName>
    <definedName name="A2716247X_Latest">[3]AustralianNA2!$IA$244</definedName>
    <definedName name="A2716248A">[3]AustralianNA2!$HV$1:$HV$10,[3]AustralianNA2!$HV$83:$HV$244</definedName>
    <definedName name="A2716248A_Data">[3]AustralianNA2!$HV$83:$HV$244</definedName>
    <definedName name="A2716248A_Latest">[3]AustralianNA2!$HV$244</definedName>
    <definedName name="A2716249C">[3]AustralianNA2!$HX$1:$HX$10,[3]AustralianNA2!$HX$83:$HX$244</definedName>
    <definedName name="A2716249C_Data">[3]AustralianNA2!$HX$83:$HX$244</definedName>
    <definedName name="A2716249C_Latest">[3]AustralianNA2!$HX$244</definedName>
    <definedName name="A2716250L">[3]AustralianNA2!$HY$1:$HY$10,[3]AustralianNA2!$HY$83:$HY$244</definedName>
    <definedName name="A2716250L_Data">[3]AustralianNA2!$HY$83:$HY$244</definedName>
    <definedName name="A2716250L_Latest">[3]AustralianNA2!$HY$244</definedName>
    <definedName name="A2716252T">[3]AustralianNA2!$HW$1:$HW$10,[3]AustralianNA2!$HW$83:$HW$244</definedName>
    <definedName name="A2716252T_Data">[3]AustralianNA2!$HW$83:$HW$244</definedName>
    <definedName name="A2716252T_Latest">[3]AustralianNA2!$HW$244</definedName>
    <definedName name="A2716256A">[3]AustralianNA2!$IE$1:$IE$10,[3]AustralianNA2!$IE$71:$IE$244</definedName>
    <definedName name="A2716256A_Data">[3]AustralianNA2!$IE$71:$IE$244</definedName>
    <definedName name="A2716256A_Latest">[3]AustralianNA2!$IE$244</definedName>
    <definedName name="A2716257C">[3]AustralianNA2!$IB$1:$IB$10,[3]AustralianNA2!$IB$71:$IB$244</definedName>
    <definedName name="A2716257C_Data">[3]AustralianNA2!$IB$71:$IB$244</definedName>
    <definedName name="A2716257C_Latest">[3]AustralianNA2!$IB$244</definedName>
    <definedName name="A2716258F">[3]AustralianNA2!$IC$1:$IC$10,[3]AustralianNA2!$IC$71:$IC$244</definedName>
    <definedName name="A2716258F_Data">[3]AustralianNA2!$IC$71:$IC$244</definedName>
    <definedName name="A2716258F_Latest">[3]AustralianNA2!$IC$244</definedName>
    <definedName name="A2716259J">[3]AustralianNA2!$ID$1:$ID$10,[3]AustralianNA2!$ID$71:$ID$244</definedName>
    <definedName name="A2716259J_Data">[3]AustralianNA2!$ID$71:$ID$244</definedName>
    <definedName name="A2716259J_Latest">[3]AustralianNA2!$ID$244</definedName>
    <definedName name="A2716260T">[3]AustralianNA2!$II$1:$II$10,[3]AustralianNA2!$II$71:$II$244</definedName>
    <definedName name="A2716260T_Data">[3]AustralianNA2!$II$71:$II$244</definedName>
    <definedName name="A2716260T_Latest">[3]AustralianNA2!$II$244</definedName>
    <definedName name="A2716261V">[3]AustralianNA2!$IJ$1:$IJ$10,[3]AustralianNA2!$IJ$71:$IJ$244</definedName>
    <definedName name="A2716261V_Data">[3]AustralianNA2!$IJ$71:$IJ$244</definedName>
    <definedName name="A2716261V_Latest">[3]AustralianNA2!$IJ$244</definedName>
    <definedName name="A2716262W">[3]AustralianNA2!$IK$1:$IK$10,[3]AustralianNA2!$IK$71:$IK$244</definedName>
    <definedName name="A2716262W_Data">[3]AustralianNA2!$IK$71:$IK$244</definedName>
    <definedName name="A2716262W_Latest">[3]AustralianNA2!$IK$244</definedName>
    <definedName name="A2716263X">[3]AustralianNA2!$IL$1:$IL$10,[3]AustralianNA2!$IL$71:$IL$244</definedName>
    <definedName name="A2716263X_Data">[3]AustralianNA2!$IL$71:$IL$244</definedName>
    <definedName name="A2716263X_Latest">[3]AustralianNA2!$IL$244</definedName>
    <definedName name="A2716264A">[3]AustralianNA2!$IQ$1:$IQ$10,[3]AustralianNA2!$IQ$71:$IQ$244</definedName>
    <definedName name="A2716264A_Data">[3]AustralianNA2!$IQ$71:$IQ$244</definedName>
    <definedName name="A2716264A_Latest">[3]AustralianNA2!$IQ$244</definedName>
    <definedName name="A2716265C">[3]AustralianNA2!$IN$1:$IN$10,[3]AustralianNA2!$IN$71:$IN$244</definedName>
    <definedName name="A2716265C_Data">[3]AustralianNA2!$IN$71:$IN$244</definedName>
    <definedName name="A2716265C_Latest">[3]AustralianNA2!$IN$244</definedName>
    <definedName name="A2716268K">[3]AustralianNA2!$IP$1:$IP$10,[3]AustralianNA2!$IP$71:$IP$244</definedName>
    <definedName name="A2716268K_Data">[3]AustralianNA2!$IP$71:$IP$244</definedName>
    <definedName name="A2716268K_Latest">[3]AustralianNA2!$IP$244</definedName>
    <definedName name="A2716269L">[3]AustralianNA3!$D$1:$D$10,[3]AustralianNA3!$D$71:$D$244</definedName>
    <definedName name="A2716269L_Data">[3]AustralianNA3!$D$71:$D$244</definedName>
    <definedName name="A2716269L_Latest">[3]AustralianNA3!$D$244</definedName>
    <definedName name="A2716270W">[3]AustralianNA3!$G$1:$G$10,[3]AustralianNA3!$G$71:$G$244</definedName>
    <definedName name="A2716270W_Data">[3]AustralianNA3!$G$71:$G$244</definedName>
    <definedName name="A2716270W_Latest">[3]AustralianNA3!$G$244</definedName>
    <definedName name="A2716271X">[3]AustralianNA3!$J$1:$J$10,[3]AustralianNA3!$J$71:$J$244</definedName>
    <definedName name="A2716271X_Data">[3]AustralianNA3!$J$71:$J$244</definedName>
    <definedName name="A2716271X_Latest">[3]AustralianNA3!$J$244</definedName>
    <definedName name="A2716272A">[3]AustralianNA3!$M$1:$M$10,[3]AustralianNA3!$M$71:$M$244</definedName>
    <definedName name="A2716272A_Data">[3]AustralianNA3!$M$71:$M$244</definedName>
    <definedName name="A2716272A_Latest">[3]AustralianNA3!$M$244</definedName>
    <definedName name="A2716273C">[3]AustralianNA3!$N$1:$N$10,[3]AustralianNA3!$N$71:$N$244</definedName>
    <definedName name="A2716273C_Data">[3]AustralianNA3!$N$71:$N$244</definedName>
    <definedName name="A2716273C_Latest">[3]AustralianNA3!$N$244</definedName>
    <definedName name="A2716274F">[3]AustralianNA3!$O$1:$O$10,[3]AustralianNA3!$O$71:$O$244</definedName>
    <definedName name="A2716274F_Data">[3]AustralianNA3!$O$71:$O$244</definedName>
    <definedName name="A2716274F_Latest">[3]AustralianNA3!$O$244</definedName>
    <definedName name="A2716275J">[3]AustralianNA3!$P$1:$P$10,[3]AustralianNA3!$P$71:$P$244</definedName>
    <definedName name="A2716275J_Data">[3]AustralianNA3!$P$71:$P$244</definedName>
    <definedName name="A2716275J_Latest">[3]AustralianNA3!$P$244</definedName>
    <definedName name="A2716276K">[3]AustralianNA3!$Q$1:$Q$10,[3]AustralianNA3!$Q$71:$Q$244</definedName>
    <definedName name="A2716276K_Data">[3]AustralianNA3!$Q$71:$Q$244</definedName>
    <definedName name="A2716276K_Latest">[3]AustralianNA3!$Q$244</definedName>
    <definedName name="A2716277L">[3]AustralianNA3!$R$1:$R$10,[3]AustralianNA3!$R$71:$R$244</definedName>
    <definedName name="A2716277L_Data">[3]AustralianNA3!$R$71:$R$244</definedName>
    <definedName name="A2716277L_Latest">[3]AustralianNA3!$R$244</definedName>
    <definedName name="A2716278R">[3]AustralianNA3!$S$1:$S$10,[3]AustralianNA3!$S$71:$S$244</definedName>
    <definedName name="A2716278R_Data">[3]AustralianNA3!$S$71:$S$244</definedName>
    <definedName name="A2716278R_Latest">[3]AustralianNA3!$S$244</definedName>
    <definedName name="A2716298X">[3]AustralianNA2!$BG$1:$BG$10,[3]AustralianNA2!$BG$72:$BG$244</definedName>
    <definedName name="A2716298X_Data">[3]AustralianNA2!$BG$72:$BG$244</definedName>
    <definedName name="A2716298X_Latest">[3]AustralianNA2!$BG$244</definedName>
    <definedName name="A2716299A">[3]AustralianNA2!$BE$1:$BE$10,[3]AustralianNA2!$BE$72:$BE$244</definedName>
    <definedName name="A2716299A_Data">[3]AustralianNA2!$BE$72:$BE$244</definedName>
    <definedName name="A2716299A_Latest">[3]AustralianNA2!$BE$244</definedName>
    <definedName name="A2716300X">[3]AustralianNA2!$BF$1:$BF$10,[3]AustralianNA2!$BF$72:$BF$244</definedName>
    <definedName name="A2716300X_Data">[3]AustralianNA2!$BF$72:$BF$244</definedName>
    <definedName name="A2716300X_Latest">[3]AustralianNA2!$BF$244</definedName>
    <definedName name="A2716301A">[3]AustralianNA2!$BN$1:$BN$10,[3]AustralianNA2!$BN$72:$BN$244</definedName>
    <definedName name="A2716301A_Data">[3]AustralianNA2!$BN$72:$BN$244</definedName>
    <definedName name="A2716301A_Latest">[3]AustralianNA2!$BN$244</definedName>
    <definedName name="A2716302C">[3]AustralianNA2!$BM$1:$BM$10,[3]AustralianNA2!$BM$116:$BM$244</definedName>
    <definedName name="A2716302C_Data">[3]AustralianNA2!$BM$116:$BM$244</definedName>
    <definedName name="A2716302C_Latest">[3]AustralianNA2!$BM$244</definedName>
    <definedName name="A2716303F">[3]AustralianNA2!$BL$1:$BL$10,[3]AustralianNA2!$BL$72:$BL$244</definedName>
    <definedName name="A2716303F_Data">[3]AustralianNA2!$BL$72:$BL$244</definedName>
    <definedName name="A2716303F_Latest">[3]AustralianNA2!$BL$244</definedName>
    <definedName name="A2716304J">[3]AustralianNA2!$BT$1:$BT$10,[3]AustralianNA2!$BT$72:$BT$244</definedName>
    <definedName name="A2716304J_Data">[3]AustralianNA2!$BT$72:$BT$244</definedName>
    <definedName name="A2716304J_Latest">[3]AustralianNA2!$BT$244</definedName>
    <definedName name="A2716305K">[3]AustralianNA2!$BO$1:$BO$10,[3]AustralianNA2!$BO$84:$BO$244</definedName>
    <definedName name="A2716305K_Data">[3]AustralianNA2!$BO$84:$BO$244</definedName>
    <definedName name="A2716305K_Latest">[3]AustralianNA2!$BO$244</definedName>
    <definedName name="A2716306L">[3]AustralianNA2!$BQ$1:$BQ$10,[3]AustralianNA2!$BQ$84:$BQ$244</definedName>
    <definedName name="A2716306L_Data">[3]AustralianNA2!$BQ$84:$BQ$244</definedName>
    <definedName name="A2716306L_Latest">[3]AustralianNA2!$BQ$244</definedName>
    <definedName name="A2716307R">[3]AustralianNA2!$BR$1:$BR$10,[3]AustralianNA2!$BR$84:$BR$244</definedName>
    <definedName name="A2716307R_Data">[3]AustralianNA2!$BR$84:$BR$244</definedName>
    <definedName name="A2716307R_Latest">[3]AustralianNA2!$BR$244</definedName>
    <definedName name="A2716309V">[3]AustralianNA2!$BP$1:$BP$10,[3]AustralianNA2!$BP$84:$BP$244</definedName>
    <definedName name="A2716309V_Data">[3]AustralianNA2!$BP$84:$BP$244</definedName>
    <definedName name="A2716309V_Latest">[3]AustralianNA2!$BP$244</definedName>
    <definedName name="A2716313K">[3]AustralianNA2!$BX$1:$BX$10,[3]AustralianNA2!$BX$72:$BX$244</definedName>
    <definedName name="A2716313K_Data">[3]AustralianNA2!$BX$72:$BX$244</definedName>
    <definedName name="A2716313K_Latest">[3]AustralianNA2!$BX$244</definedName>
    <definedName name="A2716314L">[3]AustralianNA2!$BU$1:$BU$10,[3]AustralianNA2!$BU$72:$BU$244</definedName>
    <definedName name="A2716314L_Data">[3]AustralianNA2!$BU$72:$BU$244</definedName>
    <definedName name="A2716314L_Latest">[3]AustralianNA2!$BU$244</definedName>
    <definedName name="A2716315R">[3]AustralianNA2!$BV$1:$BV$10,[3]AustralianNA2!$BV$72:$BV$244</definedName>
    <definedName name="A2716315R_Data">[3]AustralianNA2!$BV$72:$BV$244</definedName>
    <definedName name="A2716315R_Latest">[3]AustralianNA2!$BV$244</definedName>
    <definedName name="A2716316T">[3]AustralianNA2!$BW$1:$BW$10,[3]AustralianNA2!$BW$72:$BW$244</definedName>
    <definedName name="A2716316T_Data">[3]AustralianNA2!$BW$72:$BW$244</definedName>
    <definedName name="A2716316T_Latest">[3]AustralianNA2!$BW$244</definedName>
    <definedName name="A2716317V">[3]AustralianNA2!$CB$1:$CB$10,[3]AustralianNA2!$CB$72:$CB$244</definedName>
    <definedName name="A2716317V_Data">[3]AustralianNA2!$CB$72:$CB$244</definedName>
    <definedName name="A2716317V_Latest">[3]AustralianNA2!$CB$244</definedName>
    <definedName name="A2716318W">[3]AustralianNA2!$CC$1:$CC$10,[3]AustralianNA2!$CC$72:$CC$244</definedName>
    <definedName name="A2716318W_Data">[3]AustralianNA2!$CC$72:$CC$244</definedName>
    <definedName name="A2716318W_Latest">[3]AustralianNA2!$CC$244</definedName>
    <definedName name="A2716319X">[3]AustralianNA2!$CD$1:$CD$10,[3]AustralianNA2!$CD$72:$CD$244</definedName>
    <definedName name="A2716319X_Data">[3]AustralianNA2!$CD$72:$CD$244</definedName>
    <definedName name="A2716319X_Latest">[3]AustralianNA2!$CD$244</definedName>
    <definedName name="A2716320J">[3]AustralianNA2!$CE$1:$CE$10,[3]AustralianNA2!$CE$72:$CE$244</definedName>
    <definedName name="A2716320J_Data">[3]AustralianNA2!$CE$72:$CE$244</definedName>
    <definedName name="A2716320J_Latest">[3]AustralianNA2!$CE$244</definedName>
    <definedName name="A2716321K">[3]AustralianNA2!$CJ$1:$CJ$10,[3]AustralianNA2!$CJ$72:$CJ$244</definedName>
    <definedName name="A2716321K_Data">[3]AustralianNA2!$CJ$72:$CJ$244</definedName>
    <definedName name="A2716321K_Latest">[3]AustralianNA2!$CJ$244</definedName>
    <definedName name="A2716322L">[3]AustralianNA2!$CG$1:$CG$10,[3]AustralianNA2!$CG$72:$CG$244</definedName>
    <definedName name="A2716322L_Data">[3]AustralianNA2!$CG$72:$CG$244</definedName>
    <definedName name="A2716322L_Latest">[3]AustralianNA2!$CG$244</definedName>
    <definedName name="A2716325V">[3]AustralianNA2!$CI$1:$CI$10,[3]AustralianNA2!$CI$72:$CI$244</definedName>
    <definedName name="A2716325V_Data">[3]AustralianNA2!$CI$72:$CI$244</definedName>
    <definedName name="A2716325V_Latest">[3]AustralianNA2!$CI$244</definedName>
    <definedName name="A2716326W">[3]AustralianNA2!$CM$1:$CM$10,[3]AustralianNA2!$CM$72:$CM$244</definedName>
    <definedName name="A2716326W_Data">[3]AustralianNA2!$CM$72:$CM$244</definedName>
    <definedName name="A2716326W_Latest">[3]AustralianNA2!$CM$244</definedName>
    <definedName name="A2716327X">[3]AustralianNA2!$CP$1:$CP$10,[3]AustralianNA2!$CP$72:$CP$244</definedName>
    <definedName name="A2716327X_Data">[3]AustralianNA2!$CP$72:$CP$244</definedName>
    <definedName name="A2716327X_Latest">[3]AustralianNA2!$CP$244</definedName>
    <definedName name="A2716328A">[3]AustralianNA2!$CS$1:$CS$10,[3]AustralianNA2!$CS$72:$CS$244</definedName>
    <definedName name="A2716328A_Data">[3]AustralianNA2!$CS$72:$CS$244</definedName>
    <definedName name="A2716328A_Latest">[3]AustralianNA2!$CS$244</definedName>
    <definedName name="A2716329C">[3]AustralianNA2!$CV$1:$CV$10,[3]AustralianNA2!$CV$72:$CV$244</definedName>
    <definedName name="A2716329C_Data">[3]AustralianNA2!$CV$72:$CV$244</definedName>
    <definedName name="A2716329C_Latest">[3]AustralianNA2!$CV$244</definedName>
    <definedName name="A2716330L">[3]AustralianNA2!$CW$1:$CW$10,[3]AustralianNA2!$CW$72:$CW$244</definedName>
    <definedName name="A2716330L_Data">[3]AustralianNA2!$CW$72:$CW$244</definedName>
    <definedName name="A2716330L_Latest">[3]AustralianNA2!$CW$244</definedName>
    <definedName name="A2716331R">[3]AustralianNA2!$CX$1:$CX$10,[3]AustralianNA2!$CX$72:$CX$244</definedName>
    <definedName name="A2716331R_Data">[3]AustralianNA2!$CX$72:$CX$244</definedName>
    <definedName name="A2716331R_Latest">[3]AustralianNA2!$CX$244</definedName>
    <definedName name="A2716332T">[3]AustralianNA2!$CY$1:$CY$10,[3]AustralianNA2!$CY$72:$CY$244</definedName>
    <definedName name="A2716332T_Data">[3]AustralianNA2!$CY$72:$CY$244</definedName>
    <definedName name="A2716332T_Latest">[3]AustralianNA2!$CY$244</definedName>
    <definedName name="A2716333V">[3]AustralianNA2!$CZ$1:$CZ$10,[3]AustralianNA2!$CZ$72:$CZ$244</definedName>
    <definedName name="A2716333V_Data">[3]AustralianNA2!$CZ$72:$CZ$244</definedName>
    <definedName name="A2716333V_Latest">[3]AustralianNA2!$CZ$244</definedName>
    <definedName name="A2716334W">[3]AustralianNA2!$DA$1:$DA$10,[3]AustralianNA2!$DA$72:$DA$244</definedName>
    <definedName name="A2716334W_Data">[3]AustralianNA2!$DA$72:$DA$244</definedName>
    <definedName name="A2716334W_Latest">[3]AustralianNA2!$DA$244</definedName>
    <definedName name="A2716335X">[3]AustralianNA2!$DB$1:$DB$10,[3]AustralianNA2!$DB$72:$DB$244</definedName>
    <definedName name="A2716335X_Data">[3]AustralianNA2!$DB$72:$DB$244</definedName>
    <definedName name="A2716335X_Latest">[3]AustralianNA2!$DB$244</definedName>
    <definedName name="A2716378X">[3]AustralianNA2!$D$1:$D$10,[3]AustralianNA2!$D$71:$D$244</definedName>
    <definedName name="A2716378X_Data">[3]AustralianNA2!$D$71:$D$244</definedName>
    <definedName name="A2716378X_Latest">[3]AustralianNA2!$D$244</definedName>
    <definedName name="A2716379A">[3]AustralianNA2!$B$1:$B$10,[3]AustralianNA2!$B$71:$B$244</definedName>
    <definedName name="A2716379A_Data">[3]AustralianNA2!$B$71:$B$244</definedName>
    <definedName name="A2716379A_Latest">[3]AustralianNA2!$B$244</definedName>
    <definedName name="A2716380K">[3]AustralianNA2!$C$1:$C$10,[3]AustralianNA2!$C$71:$C$244</definedName>
    <definedName name="A2716380K_Data">[3]AustralianNA2!$C$71:$C$244</definedName>
    <definedName name="A2716380K_Latest">[3]AustralianNA2!$C$244</definedName>
    <definedName name="A2716381L">[3]AustralianNA2!$K$1:$K$10,[3]AustralianNA2!$K$71:$K$244</definedName>
    <definedName name="A2716381L_Data">[3]AustralianNA2!$K$71:$K$244</definedName>
    <definedName name="A2716381L_Latest">[3]AustralianNA2!$K$244</definedName>
    <definedName name="A2716382R">[3]AustralianNA2!$J$1:$J$10,[3]AustralianNA2!$J$115:$J$244</definedName>
    <definedName name="A2716382R_Data">[3]AustralianNA2!$J$115:$J$244</definedName>
    <definedName name="A2716382R_Latest">[3]AustralianNA2!$J$244</definedName>
    <definedName name="A2716383T">[3]AustralianNA2!$I$1:$I$10,[3]AustralianNA2!$I$71:$I$244</definedName>
    <definedName name="A2716383T_Data">[3]AustralianNA2!$I$71:$I$244</definedName>
    <definedName name="A2716383T_Latest">[3]AustralianNA2!$I$244</definedName>
    <definedName name="A2716384V">[3]AustralianNA2!$Q$1:$Q$10,[3]AustralianNA2!$Q$71:$Q$244</definedName>
    <definedName name="A2716384V_Data">[3]AustralianNA2!$Q$71:$Q$244</definedName>
    <definedName name="A2716384V_Latest">[3]AustralianNA2!$Q$244</definedName>
    <definedName name="A2716385W">[3]AustralianNA2!$L$1:$L$10,[3]AustralianNA2!$L$83:$L$244</definedName>
    <definedName name="A2716385W_Data">[3]AustralianNA2!$L$83:$L$244</definedName>
    <definedName name="A2716385W_Latest">[3]AustralianNA2!$L$244</definedName>
    <definedName name="A2716386X">[3]AustralianNA2!$N$1:$N$10,[3]AustralianNA2!$N$83:$N$244</definedName>
    <definedName name="A2716386X_Data">[3]AustralianNA2!$N$83:$N$244</definedName>
    <definedName name="A2716386X_Latest">[3]AustralianNA2!$N$244</definedName>
    <definedName name="A2716387A">[3]AustralianNA2!$O$1:$O$10,[3]AustralianNA2!$O$83:$O$244</definedName>
    <definedName name="A2716387A_Data">[3]AustralianNA2!$O$83:$O$244</definedName>
    <definedName name="A2716387A_Latest">[3]AustralianNA2!$O$244</definedName>
    <definedName name="A2716389F">[3]AustralianNA2!$M$1:$M$10,[3]AustralianNA2!$M$83:$M$244</definedName>
    <definedName name="A2716389F_Data">[3]AustralianNA2!$M$83:$M$244</definedName>
    <definedName name="A2716389F_Latest">[3]AustralianNA2!$M$244</definedName>
    <definedName name="A2716393W">[3]AustralianNA2!$R$1:$R$10,[3]AustralianNA2!$R$71:$R$244</definedName>
    <definedName name="A2716393W_Data">[3]AustralianNA2!$R$71:$R$244</definedName>
    <definedName name="A2716393W_Latest">[3]AustralianNA2!$R$244</definedName>
    <definedName name="A2716394X">[3]AustralianNA2!$S$1:$S$10,[3]AustralianNA2!$S$71:$S$244</definedName>
    <definedName name="A2716394X_Data">[3]AustralianNA2!$S$71:$S$244</definedName>
    <definedName name="A2716394X_Latest">[3]AustralianNA2!$S$244</definedName>
    <definedName name="A2716395A">[3]AustralianNA2!$T$1:$T$10,[3]AustralianNA2!$T$71:$T$244</definedName>
    <definedName name="A2716395A_Data">[3]AustralianNA2!$T$71:$T$244</definedName>
    <definedName name="A2716395A_Latest">[3]AustralianNA2!$T$244</definedName>
    <definedName name="A2716396C">[3]AustralianNA2!$Y$1:$Y$10,[3]AustralianNA2!$Y$71:$Y$244</definedName>
    <definedName name="A2716396C_Data">[3]AustralianNA2!$Y$71:$Y$244</definedName>
    <definedName name="A2716396C_Latest">[3]AustralianNA2!$Y$244</definedName>
    <definedName name="A2716397F">[3]AustralianNA2!$Z$1:$Z$10,[3]AustralianNA2!$Z$71:$Z$244</definedName>
    <definedName name="A2716397F_Data">[3]AustralianNA2!$Z$71:$Z$244</definedName>
    <definedName name="A2716397F_Latest">[3]AustralianNA2!$Z$244</definedName>
    <definedName name="A2716398J">[3]AustralianNA2!$AA$1:$AA$10,[3]AustralianNA2!$AA$71:$AA$244</definedName>
    <definedName name="A2716398J_Data">[3]AustralianNA2!$AA$71:$AA$244</definedName>
    <definedName name="A2716398J_Latest">[3]AustralianNA2!$AA$244</definedName>
    <definedName name="A2716399K">[3]AustralianNA2!$AB$1:$AB$10,[3]AustralianNA2!$AB$71:$AB$244</definedName>
    <definedName name="A2716399K_Data">[3]AustralianNA2!$AB$71:$AB$244</definedName>
    <definedName name="A2716399K_Latest">[3]AustralianNA2!$AB$244</definedName>
    <definedName name="A2716400J">[3]AustralianNA2!$AG$1:$AG$10,[3]AustralianNA2!$AG$71:$AG$244</definedName>
    <definedName name="A2716400J_Data">[3]AustralianNA2!$AG$71:$AG$244</definedName>
    <definedName name="A2716400J_Latest">[3]AustralianNA2!$AG$244</definedName>
    <definedName name="A2716401K">[3]AustralianNA2!$AD$1:$AD$10,[3]AustralianNA2!$AD$71:$AD$244</definedName>
    <definedName name="A2716401K_Data">[3]AustralianNA2!$AD$71:$AD$244</definedName>
    <definedName name="A2716401K_Latest">[3]AustralianNA2!$AD$244</definedName>
    <definedName name="A2716404T">[3]AustralianNA2!$AF$1:$AF$10,[3]AustralianNA2!$AF$71:$AF$244</definedName>
    <definedName name="A2716404T_Data">[3]AustralianNA2!$AF$71:$AF$244</definedName>
    <definedName name="A2716404T_Latest">[3]AustralianNA2!$AF$244</definedName>
    <definedName name="A2716405V">[3]AustralianNA2!$AJ$1:$AJ$10,[3]AustralianNA2!$AJ$71:$AJ$244</definedName>
    <definedName name="A2716405V_Data">[3]AustralianNA2!$AJ$71:$AJ$244</definedName>
    <definedName name="A2716405V_Latest">[3]AustralianNA2!$AJ$244</definedName>
    <definedName name="A2716406W">[3]AustralianNA2!$AM$1:$AM$10,[3]AustralianNA2!$AM$71:$AM$244</definedName>
    <definedName name="A2716406W_Data">[3]AustralianNA2!$AM$71:$AM$244</definedName>
    <definedName name="A2716406W_Latest">[3]AustralianNA2!$AM$244</definedName>
    <definedName name="A2716407X">[3]AustralianNA2!$AP$1:$AP$10,[3]AustralianNA2!$AP$71:$AP$244</definedName>
    <definedName name="A2716407X_Data">[3]AustralianNA2!$AP$71:$AP$244</definedName>
    <definedName name="A2716407X_Latest">[3]AustralianNA2!$AP$244</definedName>
    <definedName name="A2716408A">[3]AustralianNA2!$AS$1:$AS$10,[3]AustralianNA2!$AS$71:$AS$244</definedName>
    <definedName name="A2716408A_Data">[3]AustralianNA2!$AS$71:$AS$244</definedName>
    <definedName name="A2716408A_Latest">[3]AustralianNA2!$AS$244</definedName>
    <definedName name="A2716409C">[3]AustralianNA2!$AT$1:$AT$10,[3]AustralianNA2!$AT$71:$AT$244</definedName>
    <definedName name="A2716409C_Data">[3]AustralianNA2!$AT$71:$AT$244</definedName>
    <definedName name="A2716409C_Latest">[3]AustralianNA2!$AT$244</definedName>
    <definedName name="A2716410L">[3]AustralianNA2!$AU$1:$AU$10,[3]AustralianNA2!$AU$71:$AU$244</definedName>
    <definedName name="A2716410L_Data">[3]AustralianNA2!$AU$71:$AU$244</definedName>
    <definedName name="A2716410L_Latest">[3]AustralianNA2!$AU$244</definedName>
    <definedName name="A2716411R">[3]AustralianNA2!$AV$1:$AV$10,[3]AustralianNA2!$AV$71:$AV$244</definedName>
    <definedName name="A2716411R_Data">[3]AustralianNA2!$AV$71:$AV$244</definedName>
    <definedName name="A2716411R_Latest">[3]AustralianNA2!$AV$244</definedName>
    <definedName name="A2716412T">[3]AustralianNA2!$AW$1:$AW$10,[3]AustralianNA2!$AW$71:$AW$244</definedName>
    <definedName name="A2716412T_Data">[3]AustralianNA2!$AW$71:$AW$244</definedName>
    <definedName name="A2716412T_Latest">[3]AustralianNA2!$AW$244</definedName>
    <definedName name="A2716413V">[3]AustralianNA2!$AX$1:$AX$10,[3]AustralianNA2!$AX$71:$AX$244</definedName>
    <definedName name="A2716413V_Data">[3]AustralianNA2!$AX$71:$AX$244</definedName>
    <definedName name="A2716413V_Latest">[3]AustralianNA2!$AX$244</definedName>
    <definedName name="A2716414W">[3]AustralianNA2!$AY$1:$AY$10,[3]AustralianNA2!$AY$71:$AY$244</definedName>
    <definedName name="A2716414W_Data">[3]AustralianNA2!$AY$71:$AY$244</definedName>
    <definedName name="A2716414W_Latest">[3]AustralianNA2!$AY$244</definedName>
    <definedName name="A2716584L">[3]AustralianNA3!$BR$1:$BR$10,[3]AustralianNA3!$BR$72:$BR$244</definedName>
    <definedName name="A2716584L_Data">[3]AustralianNA3!$BR$72:$BR$244</definedName>
    <definedName name="A2716584L_Latest">[3]AustralianNA3!$BR$244</definedName>
    <definedName name="A2716585R">[3]AustralianNA2!$EY$1:$EY$10,[3]AustralianNA2!$EY$71:$EY$244</definedName>
    <definedName name="A2716585R_Data">[3]AustralianNA2!$EY$71:$EY$244</definedName>
    <definedName name="A2716585R_Latest">[3]AustralianNA2!$EY$244</definedName>
    <definedName name="A2716587V">[3]AustralianNA2!$U$1:$U$10,[3]AustralianNA2!$U$71:$U$244</definedName>
    <definedName name="A2716587V_Data">[3]AustralianNA2!$U$71:$U$244</definedName>
    <definedName name="A2716587V_Latest">[3]AustralianNA2!$U$244</definedName>
    <definedName name="A3348484C">[3]AustralianNA2!$AC$1:$AC$10,[3]AustralianNA2!$AC$71:$AC$244</definedName>
    <definedName name="A3348484C_Data">[3]AustralianNA2!$AC$71:$AC$244</definedName>
    <definedName name="A3348484C_Latest">[3]AustralianNA2!$AC$244</definedName>
    <definedName name="A3348485F">[3]AustralianNA2!$AE$1:$AE$10,[3]AustralianNA2!$AE$71:$AE$244</definedName>
    <definedName name="A3348485F_Data">[3]AustralianNA2!$AE$71:$AE$244</definedName>
    <definedName name="A3348485F_Latest">[3]AustralianNA2!$AE$244</definedName>
    <definedName name="A3348486J">[3]AustralianNA2!$CF$1:$CF$10,[3]AustralianNA2!$CF$72:$CF$244</definedName>
    <definedName name="A3348486J_Data">[3]AustralianNA2!$CF$72:$CF$244</definedName>
    <definedName name="A3348486J_Latest">[3]AustralianNA2!$CF$244</definedName>
    <definedName name="A3348487K">[3]AustralianNA2!$CH$1:$CH$10,[3]AustralianNA2!$CH$72:$CH$244</definedName>
    <definedName name="A3348487K_Data">[3]AustralianNA2!$CH$72:$CH$244</definedName>
    <definedName name="A3348487K_Latest">[3]AustralianNA2!$CH$244</definedName>
    <definedName name="A3348488L">[3]AustralianNA2!$EH$1:$EH$10,[3]AustralianNA2!$EH$71:$EH$244</definedName>
    <definedName name="A3348488L_Data">[3]AustralianNA2!$EH$71:$EH$244</definedName>
    <definedName name="A3348488L_Latest">[3]AustralianNA2!$EH$244</definedName>
    <definedName name="A3348489R">[3]AustralianNA2!$EJ$1:$EJ$10,[3]AustralianNA2!$EJ$71:$EJ$244</definedName>
    <definedName name="A3348489R_Data">[3]AustralianNA2!$EJ$71:$EJ$244</definedName>
    <definedName name="A3348489R_Latest">[3]AustralianNA2!$EJ$244</definedName>
    <definedName name="A3348490X">[3]AustralianNA2!$GK$1:$GK$10,[3]AustralianNA2!$GK$72:$GK$244</definedName>
    <definedName name="A3348490X_Data">[3]AustralianNA2!$GK$72:$GK$244</definedName>
    <definedName name="A3348490X_Latest">[3]AustralianNA2!$GK$244</definedName>
    <definedName name="A3348491A">[3]AustralianNA2!$GM$1:$GM$10,[3]AustralianNA2!$GM$72:$GM$244</definedName>
    <definedName name="A3348491A_Data">[3]AustralianNA2!$GM$72:$GM$244</definedName>
    <definedName name="A3348491A_Latest">[3]AustralianNA2!$GM$244</definedName>
    <definedName name="A3348492C">[3]AustralianNA2!$IM$1:$IM$10,[3]AustralianNA2!$IM$71:$IM$244</definedName>
    <definedName name="A3348492C_Data">[3]AustralianNA2!$IM$71:$IM$244</definedName>
    <definedName name="A3348492C_Latest">[3]AustralianNA2!$IM$244</definedName>
    <definedName name="A3348493F">[3]AustralianNA2!$IO$1:$IO$10,[3]AustralianNA2!$IO$71:$IO$244</definedName>
    <definedName name="A3348493F_Data">[3]AustralianNA2!$IO$71:$IO$244</definedName>
    <definedName name="A3348493F_Latest">[3]AustralianNA2!$IO$244</definedName>
    <definedName name="A3348494J">[3]AustralianNA3!$AZ$1:$AZ$10,[3]AustralianNA3!$AZ$72:$AZ$244</definedName>
    <definedName name="A3348494J_Data">[3]AustralianNA3!$AZ$72:$AZ$244</definedName>
    <definedName name="A3348494J_Latest">[3]AustralianNA3!$AZ$244</definedName>
    <definedName name="A3348495K">[3]AustralianNA3!$BB$1:$BB$10,[3]AustralianNA3!$BB$72:$BB$244</definedName>
    <definedName name="A3348495K_Data">[3]AustralianNA3!$BB$72:$BB$244</definedName>
    <definedName name="A3348495K_Latest">[3]AustralianNA3!$BB$244</definedName>
    <definedName name="A3605670A">[3]AustralianNA2!$FM$1:$FM$10,[3]AustralianNA2!$FM$116:$FM$244</definedName>
    <definedName name="A3605670A_Data">[3]AustralianNA2!$FM$116:$FM$244</definedName>
    <definedName name="A3605670A_Latest">[3]AustralianNA2!$FM$244</definedName>
    <definedName name="A3605672F">[3]AustralianNA2!$FN$1:$FN$10,[3]AustralianNA2!$FN$116:$FN$244</definedName>
    <definedName name="A3605672F_Data">[3]AustralianNA2!$FN$116:$FN$244</definedName>
    <definedName name="A3605672F_Latest">[3]AustralianNA2!$FN$244</definedName>
    <definedName name="A3605673J">[3]AustralianNA2!$HP$1:$HP$10,[3]AustralianNA2!$HP$115:$HP$244</definedName>
    <definedName name="A3605673J_Data">[3]AustralianNA2!$HP$115:$HP$244</definedName>
    <definedName name="A3605673J_Latest">[3]AustralianNA2!$HP$244</definedName>
    <definedName name="A3605674K">[3]AustralianNA2!$BH$1:$BH$10,[3]AustralianNA2!$BH$116:$BH$244</definedName>
    <definedName name="A3605674K_Data">[3]AustralianNA2!$BH$116:$BH$244</definedName>
    <definedName name="A3605674K_Latest">[3]AustralianNA2!$BH$244</definedName>
    <definedName name="A3605676R">[3]AustralianNA2!$BI$1:$BI$10,[3]AustralianNA2!$BI$116:$BI$244</definedName>
    <definedName name="A3605676R_Data">[3]AustralianNA2!$BI$116:$BI$244</definedName>
    <definedName name="A3605676R_Latest">[3]AustralianNA2!$BI$244</definedName>
    <definedName name="A3605677T">[3]AustralianNA2!$HO$1:$HO$10,[3]AustralianNA2!$HO$115:$HO$244</definedName>
    <definedName name="A3605677T_Data">[3]AustralianNA2!$HO$115:$HO$244</definedName>
    <definedName name="A3605677T_Latest">[3]AustralianNA2!$HO$244</definedName>
    <definedName name="A3606066X">[3]AustralianNA2!$DJ$1:$DJ$10,[3]AustralianNA2!$DJ$115:$DJ$244</definedName>
    <definedName name="A3606066X_Data">[3]AustralianNA2!$DJ$115:$DJ$244</definedName>
    <definedName name="A3606066X_Latest">[3]AustralianNA2!$DJ$244</definedName>
    <definedName name="A3606067A">[3]AustralianNA2!$DK$1:$DK$10,[3]AustralianNA2!$DK$115:$DK$244</definedName>
    <definedName name="A3606067A_Data">[3]AustralianNA2!$DK$115:$DK$244</definedName>
    <definedName name="A3606067A_Latest">[3]AustralianNA2!$DK$244</definedName>
    <definedName name="A3606069F">[3]AustralianNA2!$E$1:$E$10,[3]AustralianNA2!$E$115:$E$244</definedName>
    <definedName name="A3606069F_Data">[3]AustralianNA2!$E$115:$E$244</definedName>
    <definedName name="A3606069F_Latest">[3]AustralianNA2!$E$244</definedName>
    <definedName name="A3606070R">[3]AustralianNA2!$F$1:$F$10,[3]AustralianNA2!$F$115:$F$244</definedName>
    <definedName name="A3606070R_Data">[3]AustralianNA2!$F$115:$F$244</definedName>
    <definedName name="A3606070R_Latest">[3]AustralianNA2!$F$244</definedName>
    <definedName name="A3606072V">[3]AustralianNA3!$AB$1:$AB$10,[3]AustralianNA3!$AB$116:$AB$244</definedName>
    <definedName name="A3606072V_Data">[3]AustralianNA3!$AB$116:$AB$244</definedName>
    <definedName name="A3606072V_Latest">[3]AustralianNA3!$AB$244</definedName>
    <definedName name="A3606073W">[3]AustralianNA3!$AC$1:$AC$10,[3]AustralianNA3!$AC$116:$AC$244</definedName>
    <definedName name="A3606073W_Data">[3]AustralianNA3!$AC$116:$AC$244</definedName>
    <definedName name="A3606073W_Latest">[3]AustralianNA3!$AC$244</definedName>
    <definedName name="A83722605X">[3]AustralianNA2!$G$1:$G$10,[3]AustralianNA2!$G$115:$G$244</definedName>
    <definedName name="A83722605X_Data">[3]AustralianNA2!$G$115:$G$244</definedName>
    <definedName name="A83722605X_Latest">[3]AustralianNA2!$G$244</definedName>
    <definedName name="A83722606A">[3]AustralianNA2!$FO$1:$FO$10,[3]AustralianNA2!$FO$116:$FO$244</definedName>
    <definedName name="A83722606A_Data">[3]AustralianNA2!$FO$116:$FO$244</definedName>
    <definedName name="A83722606A_Latest">[3]AustralianNA2!$FO$244</definedName>
    <definedName name="A83722607C">[3]AustralianNA2!$BJ$1:$BJ$10,[3]AustralianNA2!$BJ$116:$BJ$244</definedName>
    <definedName name="A83722607C_Data">[3]AustralianNA2!$BJ$116:$BJ$244</definedName>
    <definedName name="A83722607C_Latest">[3]AustralianNA2!$BJ$244</definedName>
    <definedName name="A83722608F">[3]AustralianNA2!$HR$1:$HR$10,[3]AustralianNA2!$HR$115:$HR$244</definedName>
    <definedName name="A83722608F_Data">[3]AustralianNA2!$HR$115:$HR$244</definedName>
    <definedName name="A83722608F_Latest">[3]AustralianNA2!$HR$244</definedName>
    <definedName name="A83722609J">[3]AustralianNA2!$DM$1:$DM$10,[3]AustralianNA2!$DM$115:$DM$244</definedName>
    <definedName name="A83722609J_Data">[3]AustralianNA2!$DM$115:$DM$244</definedName>
    <definedName name="A83722609J_Latest">[3]AustralianNA2!$DM$244</definedName>
    <definedName name="A83722610T">[3]AustralianNA2!$H$1:$H$10,[3]AustralianNA2!$H$115:$H$244</definedName>
    <definedName name="A83722610T_Data">[3]AustralianNA2!$H$115:$H$244</definedName>
    <definedName name="A83722610T_Latest">[3]AustralianNA2!$H$244</definedName>
    <definedName name="A83722611V">[3]AustralianNA2!$FP$1:$FP$10,[3]AustralianNA2!$FP$116:$FP$244</definedName>
    <definedName name="A83722611V_Data">[3]AustralianNA2!$FP$116:$FP$244</definedName>
    <definedName name="A83722611V_Latest">[3]AustralianNA2!$FP$244</definedName>
    <definedName name="A83722612W">[3]AustralianNA2!$BK$1:$BK$10,[3]AustralianNA2!$BK$116:$BK$244</definedName>
    <definedName name="A83722612W_Data">[3]AustralianNA2!$BK$116:$BK$244</definedName>
    <definedName name="A83722612W_Latest">[3]AustralianNA2!$BK$244</definedName>
    <definedName name="A83722613X">[3]AustralianNA3!$AE$1:$AE$10,[3]AustralianNA3!$AE$116:$AE$244</definedName>
    <definedName name="A83722613X_Data">[3]AustralianNA3!$AE$116:$AE$244</definedName>
    <definedName name="A83722613X_Latest">[3]AustralianNA3!$AE$244</definedName>
    <definedName name="A83722620W">[3]AustralianNA2!$HQ$1:$HQ$10,[3]AustralianNA2!$HQ$115:$HQ$244</definedName>
    <definedName name="A83722620W_Data">[3]AustralianNA2!$HQ$115:$HQ$244</definedName>
    <definedName name="A83722620W_Latest">[3]AustralianNA2!$HQ$244</definedName>
    <definedName name="A83722621X">[3]AustralianNA2!$DL$1:$DL$10,[3]AustralianNA2!$DL$115:$DL$244</definedName>
    <definedName name="A83722621X_Data">[3]AustralianNA2!$DL$115:$DL$244</definedName>
    <definedName name="A83722621X_Latest">[3]AustralianNA2!$DL$244</definedName>
    <definedName name="A83722622A">[3]AustralianNA3!$AD$1:$AD$10,[3]AustralianNA3!$AD$116:$AD$244</definedName>
    <definedName name="A83722622A_Data">[3]AustralianNA3!$AD$116:$AD$244</definedName>
    <definedName name="A83722622A_Latest">[3]AustralianNA3!$AD$244</definedName>
    <definedName name="A85124990W">[3]AustralianNA4!$R$1:$R$10,[3]AustralianNA4!$R$11:$R$128</definedName>
    <definedName name="A85124990W_Data">[3]AustralianNA4!$R$11:$R$128</definedName>
    <definedName name="A85124990W_Latest">[3]AustralianNA4!$R$128</definedName>
    <definedName name="A85124991X">[3]AustralianNA4!$S$1:$S$10,[3]AustralianNA4!$S$11:$S$128</definedName>
    <definedName name="A85124991X_Data">[3]AustralianNA4!$S$11:$S$128</definedName>
    <definedName name="A85124991X_Latest">[3]AustralianNA4!$S$128</definedName>
    <definedName name="A85124992A">[3]AustralianNA4!$T$1:$T$10,[3]AustralianNA4!$T$11:$T$128</definedName>
    <definedName name="A85124992A_Data">[3]AustralianNA4!$T$11:$T$128</definedName>
    <definedName name="A85124992A_Latest">[3]AustralianNA4!$T$128</definedName>
    <definedName name="A85124993C">[3]AustralianNA4!$U$1:$U$10,[3]AustralianNA4!$U$11:$U$128</definedName>
    <definedName name="A85124993C_Data">[3]AustralianNA4!$U$11:$U$128</definedName>
    <definedName name="A85124993C_Latest">[3]AustralianNA4!$U$128</definedName>
    <definedName name="A85124994F">[3]AustralianNA4!$V$1:$V$10,[3]AustralianNA4!$V$11:$V$128</definedName>
    <definedName name="A85124994F_Data">[3]AustralianNA4!$V$11:$V$128</definedName>
    <definedName name="A85124994F_Latest">[3]AustralianNA4!$V$128</definedName>
    <definedName name="A85124995J">[3]AustralianNA4!$W$1:$W$10,[3]AustralianNA4!$W$11:$W$128</definedName>
    <definedName name="A85124995J_Data">[3]AustralianNA4!$W$11:$W$128</definedName>
    <definedName name="A85124995J_Latest">[3]AustralianNA4!$W$128</definedName>
    <definedName name="A85124996K">[3]AustralianNA4!$X$1:$X$10,[3]AustralianNA4!$X$11:$X$128</definedName>
    <definedName name="A85124996K_Data">[3]AustralianNA4!$X$11:$X$128</definedName>
    <definedName name="A85124996K_Latest">[3]AustralianNA4!$X$128</definedName>
    <definedName name="A85124997L">[3]AustralianNA4!$Y$1:$Y$10,[3]AustralianNA4!$Y$11:$Y$128</definedName>
    <definedName name="A85124997L_Data">[3]AustralianNA4!$Y$11:$Y$128</definedName>
    <definedName name="A85124997L_Latest">[3]AustralianNA4!$Y$128</definedName>
    <definedName name="A85124998R">[3]AustralianNA4!$Z$1:$Z$10,[3]AustralianNA4!$Z$11:$Z$128</definedName>
    <definedName name="A85124998R_Data">[3]AustralianNA4!$Z$11:$Z$128</definedName>
    <definedName name="A85124998R_Latest">[3]AustralianNA4!$Z$128</definedName>
    <definedName name="A85124999T">[3]AustralianNA4!$AA$1:$AA$10,[3]AustralianNA4!$AA$11:$AA$128</definedName>
    <definedName name="A85124999T_Data">[3]AustralianNA4!$AA$11:$AA$128</definedName>
    <definedName name="A85124999T_Latest">[3]AustralianNA4!$AA$128</definedName>
    <definedName name="A85125000T">[3]AustralianNA4!$AC$1:$AC$10,[3]AustralianNA4!$AC$11:$AC$128</definedName>
    <definedName name="A85125000T_Data">[3]AustralianNA4!$AC$11:$AC$128</definedName>
    <definedName name="A85125000T_Latest">[3]AustralianNA4!$AC$128</definedName>
    <definedName name="A85125001V">[3]AustralianNA4!$AD$1:$AD$10,[3]AustralianNA4!$AD$11:$AD$128</definedName>
    <definedName name="A85125001V_Data">[3]AustralianNA4!$AD$11:$AD$128</definedName>
    <definedName name="A85125001V_Latest">[3]AustralianNA4!$AD$128</definedName>
    <definedName name="A85125002W">[3]AustralianNA4!$AE$1:$AE$10,[3]AustralianNA4!$AE$11:$AE$128</definedName>
    <definedName name="A85125002W_Data">[3]AustralianNA4!$AE$11:$AE$128</definedName>
    <definedName name="A85125002W_Latest">[3]AustralianNA4!$AE$128</definedName>
    <definedName name="A85125003X">[3]AustralianNA4!$AF$1:$AF$10,[3]AustralianNA4!$AF$11:$AF$128</definedName>
    <definedName name="A85125003X_Data">[3]AustralianNA4!$AF$11:$AF$128</definedName>
    <definedName name="A85125003X_Latest">[3]AustralianNA4!$AF$128</definedName>
    <definedName name="A85125004A">[3]AustralianNA4!$AG$1:$AG$10,[3]AustralianNA4!$AG$11:$AG$128</definedName>
    <definedName name="A85125004A_Data">[3]AustralianNA4!$AG$11:$AG$128</definedName>
    <definedName name="A85125004A_Latest">[3]AustralianNA4!$AG$128</definedName>
    <definedName name="A85125005C">[3]AustralianNA4!$AH$1:$AH$10,[3]AustralianNA4!$AH$11:$AH$128</definedName>
    <definedName name="A85125005C_Data">[3]AustralianNA4!$AH$11:$AH$128</definedName>
    <definedName name="A85125005C_Latest">[3]AustralianNA4!$AH$128</definedName>
    <definedName name="A85125006F">[3]AustralianNA4!$AI$1:$AI$10,[3]AustralianNA4!$AI$11:$AI$128</definedName>
    <definedName name="A85125006F_Data">[3]AustralianNA4!$AI$11:$AI$128</definedName>
    <definedName name="A85125006F_Latest">[3]AustralianNA4!$AI$128</definedName>
    <definedName name="A85125007J">[3]AustralianNA4!$AJ$1:$AJ$10,[3]AustralianNA4!$AJ$11:$AJ$128</definedName>
    <definedName name="A85125007J_Data">[3]AustralianNA4!$AJ$11:$AJ$128</definedName>
    <definedName name="A85125007J_Latest">[3]AustralianNA4!$AJ$128</definedName>
    <definedName name="A85125008K">[3]AustralianNA4!$AK$1:$AK$10,[3]AustralianNA4!$AK$11:$AK$128</definedName>
    <definedName name="A85125008K_Data">[3]AustralianNA4!$AK$11:$AK$128</definedName>
    <definedName name="A85125008K_Latest">[3]AustralianNA4!$AK$128</definedName>
    <definedName name="A85125009L">[3]AustralianNA4!$AL$1:$AL$10,[3]AustralianNA4!$AL$11:$AL$128</definedName>
    <definedName name="A85125009L_Data">[3]AustralianNA4!$AL$11:$AL$128</definedName>
    <definedName name="A85125009L_Latest">[3]AustralianNA4!$AL$128</definedName>
    <definedName name="A85125010W">[3]AustralianNA4!$AM$1:$AM$10,[3]AustralianNA4!$AM$11:$AM$128</definedName>
    <definedName name="A85125010W_Data">[3]AustralianNA4!$AM$11:$AM$128</definedName>
    <definedName name="A85125010W_Latest">[3]AustralianNA4!$AM$128</definedName>
    <definedName name="A85125011X">[3]AustralianNA4!$AN$1:$AN$10,[3]AustralianNA4!$AN$11:$AN$128</definedName>
    <definedName name="A85125011X_Data">[3]AustralianNA4!$AN$11:$AN$128</definedName>
    <definedName name="A85125011X_Latest">[3]AustralianNA4!$AN$128</definedName>
    <definedName name="A85125012A">[3]AustralianNA4!$AO$1:$AO$10,[3]AustralianNA4!$AO$11:$AO$128</definedName>
    <definedName name="A85125012A_Data">[3]AustralianNA4!$AO$11:$AO$128</definedName>
    <definedName name="A85125012A_Latest">[3]AustralianNA4!$AO$128</definedName>
    <definedName name="A85125013C">[3]AustralianNA4!$AP$1:$AP$10,[3]AustralianNA4!$AP$11:$AP$128</definedName>
    <definedName name="A85125013C_Data">[3]AustralianNA4!$AP$11:$AP$128</definedName>
    <definedName name="A85125013C_Latest">[3]AustralianNA4!$AP$128</definedName>
    <definedName name="A85125014F">[3]AustralianNA4!$AQ$1:$AQ$10,[3]AustralianNA4!$AQ$11:$AQ$128</definedName>
    <definedName name="A85125014F_Data">[3]AustralianNA4!$AQ$11:$AQ$128</definedName>
    <definedName name="A85125014F_Latest">[3]AustralianNA4!$AQ$128</definedName>
    <definedName name="A85125015J">[3]AustralianNA4!$AR$1:$AR$10,[3]AustralianNA4!$AR$11:$AR$128</definedName>
    <definedName name="A85125015J_Data">[3]AustralianNA4!$AR$11:$AR$128</definedName>
    <definedName name="A85125015J_Latest">[3]AustralianNA4!$AR$128</definedName>
    <definedName name="A85125016K">[3]AustralianNA4!$AS$1:$AS$10,[3]AustralianNA4!$AS$11:$AS$128</definedName>
    <definedName name="A85125016K_Data">[3]AustralianNA4!$AS$11:$AS$128</definedName>
    <definedName name="A85125016K_Latest">[3]AustralianNA4!$AS$128</definedName>
    <definedName name="A85125017L">[3]AustralianNA4!$AT$1:$AT$10,[3]AustralianNA4!$AT$11:$AT$128</definedName>
    <definedName name="A85125017L_Data">[3]AustralianNA4!$AT$11:$AT$128</definedName>
    <definedName name="A85125017L_Latest">[3]AustralianNA4!$AT$128</definedName>
    <definedName name="A85125018R">[3]AustralianNA4!$AU$1:$AU$10,[3]AustralianNA4!$AU$11:$AU$128</definedName>
    <definedName name="A85125018R_Data">[3]AustralianNA4!$AU$11:$AU$128</definedName>
    <definedName name="A85125018R_Latest">[3]AustralianNA4!$AU$128</definedName>
    <definedName name="A85125019T">[3]AustralianNA4!$AV$1:$AV$10,[3]AustralianNA4!$AV$11:$AV$128</definedName>
    <definedName name="A85125019T_Data">[3]AustralianNA4!$AV$11:$AV$128</definedName>
    <definedName name="A85125019T_Latest">[3]AustralianNA4!$AV$128</definedName>
    <definedName name="A85125020A">[3]AustralianNA4!$AW$1:$AW$10,[3]AustralianNA4!$AW$11:$AW$128</definedName>
    <definedName name="A85125020A_Data">[3]AustralianNA4!$AW$11:$AW$128</definedName>
    <definedName name="A85125020A_Latest">[3]AustralianNA4!$AW$128</definedName>
    <definedName name="A85125021C">[3]AustralianNA4!$AX$1:$AX$10,[3]AustralianNA4!$AX$11:$AX$128</definedName>
    <definedName name="A85125021C_Data">[3]AustralianNA4!$AX$11:$AX$128</definedName>
    <definedName name="A85125021C_Latest">[3]AustralianNA4!$AX$128</definedName>
    <definedName name="A85125022F">[3]AustralianNA4!$AY$1:$AY$10,[3]AustralianNA4!$AY$11:$AY$128</definedName>
    <definedName name="A85125022F_Data">[3]AustralianNA4!$AY$11:$AY$128</definedName>
    <definedName name="A85125022F_Latest">[3]AustralianNA4!$AY$128</definedName>
    <definedName name="A85125023J">[3]AustralianNA4!$AZ$1:$AZ$10,[3]AustralianNA4!$AZ$11:$AZ$128</definedName>
    <definedName name="A85125023J_Data">[3]AustralianNA4!$AZ$11:$AZ$128</definedName>
    <definedName name="A85125023J_Latest">[3]AustralianNA4!$AZ$128</definedName>
    <definedName name="A85125024K">[3]AustralianNA4!$BA$1:$BA$10,[3]AustralianNA4!$BA$11:$BA$128</definedName>
    <definedName name="A85125024K_Data">[3]AustralianNA4!$BA$11:$BA$128</definedName>
    <definedName name="A85125024K_Latest">[3]AustralianNA4!$BA$128</definedName>
    <definedName name="A85125025L">[3]AustralianNA4!$BB$1:$BB$10,[3]AustralianNA4!$BB$11:$BB$128</definedName>
    <definedName name="A85125025L_Data">[3]AustralianNA4!$BB$11:$BB$128</definedName>
    <definedName name="A85125025L_Latest">[3]AustralianNA4!$BB$128</definedName>
    <definedName name="A85125026R">[3]AustralianNA4!$BC$1:$BC$10,[3]AustralianNA4!$BC$11:$BC$128</definedName>
    <definedName name="A85125026R_Data">[3]AustralianNA4!$BC$11:$BC$128</definedName>
    <definedName name="A85125026R_Latest">[3]AustralianNA4!$BC$128</definedName>
    <definedName name="A85125027T">[3]AustralianNA4!$BD$1:$BD$10,[3]AustralianNA4!$BD$11:$BD$128</definedName>
    <definedName name="A85125027T_Data">[3]AustralianNA4!$BD$11:$BD$128</definedName>
    <definedName name="A85125027T_Latest">[3]AustralianNA4!$BD$128</definedName>
    <definedName name="A85125028V">[3]AustralianNA4!$BF$1:$BF$10,[3]AustralianNA4!$BF$11:$BF$128</definedName>
    <definedName name="A85125028V_Data">[3]AustralianNA4!$BF$11:$BF$128</definedName>
    <definedName name="A85125028V_Latest">[3]AustralianNA4!$BF$128</definedName>
    <definedName name="A85125029W">[3]AustralianNA4!$BG$1:$BG$10,[3]AustralianNA4!$BG$11:$BG$128</definedName>
    <definedName name="A85125029W_Data">[3]AustralianNA4!$BG$11:$BG$128</definedName>
    <definedName name="A85125029W_Latest">[3]AustralianNA4!$BG$128</definedName>
    <definedName name="A85125030F">[3]AustralianNA4!$BH$1:$BH$10,[3]AustralianNA4!$BH$11:$BH$128</definedName>
    <definedName name="A85125030F_Data">[3]AustralianNA4!$BH$11:$BH$128</definedName>
    <definedName name="A85125030F_Latest">[3]AustralianNA4!$BH$128</definedName>
    <definedName name="A85125031J">[3]AustralianNA4!$BI$1:$BI$10,[3]AustralianNA4!$BI$11:$BI$128</definedName>
    <definedName name="A85125031J_Data">[3]AustralianNA4!$BI$11:$BI$128</definedName>
    <definedName name="A85125031J_Latest">[3]AustralianNA4!$BI$128</definedName>
    <definedName name="A85125032K">[3]AustralianNA4!$BJ$1:$BJ$10,[3]AustralianNA4!$BJ$11:$BJ$128</definedName>
    <definedName name="A85125032K_Data">[3]AustralianNA4!$BJ$11:$BJ$128</definedName>
    <definedName name="A85125032K_Latest">[3]AustralianNA4!$BJ$128</definedName>
    <definedName name="A85125033L">[3]AustralianNA4!$BK$1:$BK$10,[3]AustralianNA4!$BK$11:$BK$128</definedName>
    <definedName name="A85125033L_Data">[3]AustralianNA4!$BK$11:$BK$128</definedName>
    <definedName name="A85125033L_Latest">[3]AustralianNA4!$BK$128</definedName>
    <definedName name="A85125034R">[3]AustralianNA4!$BL$1:$BL$10,[3]AustralianNA4!$BL$11:$BL$128</definedName>
    <definedName name="A85125034R_Data">[3]AustralianNA4!$BL$11:$BL$128</definedName>
    <definedName name="A85125034R_Latest">[3]AustralianNA4!$BL$128</definedName>
    <definedName name="A85125035T">[3]AustralianNA4!$BM$1:$BM$10,[3]AustralianNA4!$BM$11:$BM$128</definedName>
    <definedName name="A85125035T_Data">[3]AustralianNA4!$BM$11:$BM$128</definedName>
    <definedName name="A85125035T_Latest">[3]AustralianNA4!$BM$128</definedName>
    <definedName name="A85125036V">[3]AustralianNA4!$BN$1:$BN$10,[3]AustralianNA4!$BN$11:$BN$128</definedName>
    <definedName name="A85125036V_Data">[3]AustralianNA4!$BN$11:$BN$128</definedName>
    <definedName name="A85125036V_Latest">[3]AustralianNA4!$BN$128</definedName>
    <definedName name="A85125037W">[3]AustralianNA4!$BO$1:$BO$10,[3]AustralianNA4!$BO$11:$BO$128</definedName>
    <definedName name="A85125037W_Data">[3]AustralianNA4!$BO$11:$BO$128</definedName>
    <definedName name="A85125037W_Latest">[3]AustralianNA4!$BO$128</definedName>
    <definedName name="A85125038X">[3]AustralianNA4!$BP$1:$BP$10,[3]AustralianNA4!$BP$11:$BP$128</definedName>
    <definedName name="A85125038X_Data">[3]AustralianNA4!$BP$11:$BP$128</definedName>
    <definedName name="A85125038X_Latest">[3]AustralianNA4!$BP$128</definedName>
    <definedName name="A85125039A">[3]AustralianNA4!$BQ$1:$BQ$10,[3]AustralianNA4!$BQ$11:$BQ$128</definedName>
    <definedName name="A85125039A_Data">[3]AustralianNA4!$BQ$11:$BQ$128</definedName>
    <definedName name="A85125039A_Latest">[3]AustralianNA4!$BQ$128</definedName>
    <definedName name="A85125040K">[3]AustralianNA4!$BR$1:$BR$10,[3]AustralianNA4!$BR$11:$BR$128</definedName>
    <definedName name="A85125040K_Data">[3]AustralianNA4!$BR$11:$BR$128</definedName>
    <definedName name="A85125040K_Latest">[3]AustralianNA4!$BR$128</definedName>
    <definedName name="A85125041L">[3]AustralianNA4!$BS$1:$BS$10,[3]AustralianNA4!$BS$11:$BS$128</definedName>
    <definedName name="A85125041L_Data">[3]AustralianNA4!$BS$11:$BS$128</definedName>
    <definedName name="A85125041L_Latest">[3]AustralianNA4!$BS$128</definedName>
    <definedName name="A85125042R">[3]AustralianNA4!$BT$1:$BT$10,[3]AustralianNA4!$BT$11:$BT$128</definedName>
    <definedName name="A85125042R_Data">[3]AustralianNA4!$BT$11:$BT$128</definedName>
    <definedName name="A85125042R_Latest">[3]AustralianNA4!$BT$128</definedName>
    <definedName name="A85125043T">[3]AustralianNA4!$BU$1:$BU$10,[3]AustralianNA4!$BU$11:$BU$128</definedName>
    <definedName name="A85125043T_Data">[3]AustralianNA4!$BU$11:$BU$128</definedName>
    <definedName name="A85125043T_Latest">[3]AustralianNA4!$BU$128</definedName>
    <definedName name="A85125044V">[3]AustralianNA4!$BV$1:$BV$10,[3]AustralianNA4!$BV$11:$BV$128</definedName>
    <definedName name="A85125044V_Data">[3]AustralianNA4!$BV$11:$BV$128</definedName>
    <definedName name="A85125044V_Latest">[3]AustralianNA4!$BV$128</definedName>
    <definedName name="A85125045W">[3]AustralianNA4!$BW$1:$BW$10,[3]AustralianNA4!$BW$11:$BW$128</definedName>
    <definedName name="A85125045W_Data">[3]AustralianNA4!$BW$11:$BW$128</definedName>
    <definedName name="A85125045W_Latest">[3]AustralianNA4!$BW$128</definedName>
    <definedName name="A85125046X">[3]AustralianNA4!$BX$1:$BX$10,[3]AustralianNA4!$BX$11:$BX$128</definedName>
    <definedName name="A85125046X_Data">[3]AustralianNA4!$BX$11:$BX$128</definedName>
    <definedName name="A85125046X_Latest">[3]AustralianNA4!$BX$128</definedName>
    <definedName name="A85125047A">[3]AustralianNA4!$BY$1:$BY$10,[3]AustralianNA4!$BY$11:$BY$128</definedName>
    <definedName name="A85125047A_Data">[3]AustralianNA4!$BY$11:$BY$128</definedName>
    <definedName name="A85125047A_Latest">[3]AustralianNA4!$BY$128</definedName>
    <definedName name="A85125048C">[3]AustralianNA4!$BZ$1:$BZ$10,[3]AustralianNA4!$BZ$11:$BZ$128</definedName>
    <definedName name="A85125048C_Data">[3]AustralianNA4!$BZ$11:$BZ$128</definedName>
    <definedName name="A85125048C_Latest">[3]AustralianNA4!$BZ$128</definedName>
    <definedName name="A85125049F">[3]AustralianNA4!$CA$1:$CA$10,[3]AustralianNA4!$CA$11:$CA$128</definedName>
    <definedName name="A85125049F_Data">[3]AustralianNA4!$CA$11:$CA$128</definedName>
    <definedName name="A85125049F_Latest">[3]AustralianNA4!$CA$128</definedName>
    <definedName name="A85125050R">[3]AustralianNA4!$CB$1:$CB$10,[3]AustralianNA4!$CB$11:$CB$128</definedName>
    <definedName name="A85125050R_Data">[3]AustralianNA4!$CB$11:$CB$128</definedName>
    <definedName name="A85125050R_Latest">[3]AustralianNA4!$CB$128</definedName>
    <definedName name="A85125051T">[3]AustralianNA4!$CC$1:$CC$10,[3]AustralianNA4!$CC$11:$CC$128</definedName>
    <definedName name="A85125051T_Data">[3]AustralianNA4!$CC$11:$CC$128</definedName>
    <definedName name="A85125051T_Latest">[3]AustralianNA4!$CC$128</definedName>
    <definedName name="A85125052V">[3]AustralianNA4!$CD$1:$CD$10,[3]AustralianNA4!$CD$11:$CD$128</definedName>
    <definedName name="A85125052V_Data">[3]AustralianNA4!$CD$11:$CD$128</definedName>
    <definedName name="A85125052V_Latest">[3]AustralianNA4!$CD$128</definedName>
    <definedName name="A85125053W">[3]AustralianNA4!$CE$1:$CE$10,[3]AustralianNA4!$CE$11:$CE$128</definedName>
    <definedName name="A85125053W_Data">[3]AustralianNA4!$CE$11:$CE$128</definedName>
    <definedName name="A85125053W_Latest">[3]AustralianNA4!$CE$128</definedName>
    <definedName name="A85125054X">[3]AustralianNA4!$CF$1:$CF$10,[3]AustralianNA4!$CF$11:$CF$128</definedName>
    <definedName name="A85125054X_Data">[3]AustralianNA4!$CF$11:$CF$128</definedName>
    <definedName name="A85125054X_Latest">[3]AustralianNA4!$CF$128</definedName>
    <definedName name="A85125055A">[3]AustralianNA4!$CG$1:$CG$10,[3]AustralianNA4!$CG$11:$CG$128</definedName>
    <definedName name="A85125055A_Data">[3]AustralianNA4!$CG$11:$CG$128</definedName>
    <definedName name="A85125055A_Latest">[3]AustralianNA4!$CG$128</definedName>
    <definedName name="A85125056C">[3]AustralianNA4!$CI$1:$CI$10,[3]AustralianNA4!$CI$11:$CI$128</definedName>
    <definedName name="A85125056C_Data">[3]AustralianNA4!$CI$11:$CI$128</definedName>
    <definedName name="A85125056C_Latest">[3]AustralianNA4!$CI$128</definedName>
    <definedName name="A85125057F">[3]AustralianNA4!$CJ$1:$CJ$10,[3]AustralianNA4!$CJ$11:$CJ$128</definedName>
    <definedName name="A85125057F_Data">[3]AustralianNA4!$CJ$11:$CJ$128</definedName>
    <definedName name="A85125057F_Latest">[3]AustralianNA4!$CJ$128</definedName>
    <definedName name="A85125379W">[3]AustralianNA4!$B$1:$B$10,[3]AustralianNA4!$B$11:$B$128</definedName>
    <definedName name="A85125379W_Data">[3]AustralianNA4!$B$11:$B$128</definedName>
    <definedName name="A85125379W_Latest">[3]AustralianNA4!$B$128</definedName>
    <definedName name="A85125380F">[3]AustralianNA4!$C$1:$C$10,[3]AustralianNA4!$C$11:$C$128</definedName>
    <definedName name="A85125380F_Data">[3]AustralianNA4!$C$11:$C$128</definedName>
    <definedName name="A85125380F_Latest">[3]AustralianNA4!$C$128</definedName>
    <definedName name="A85125381J">[3]AustralianNA4!$D$1:$D$10,[3]AustralianNA4!$D$11:$D$128</definedName>
    <definedName name="A85125381J_Data">[3]AustralianNA4!$D$11:$D$128</definedName>
    <definedName name="A85125381J_Latest">[3]AustralianNA4!$D$128</definedName>
    <definedName name="A85125382K">[3]AustralianNA4!$E$1:$E$10,[3]AustralianNA4!$E$11:$E$128</definedName>
    <definedName name="A85125382K_Data">[3]AustralianNA4!$E$11:$E$128</definedName>
    <definedName name="A85125382K_Latest">[3]AustralianNA4!$E$128</definedName>
    <definedName name="A85125383L">[3]AustralianNA4!$F$1:$F$10,[3]AustralianNA4!$F$11:$F$128</definedName>
    <definedName name="A85125383L_Data">[3]AustralianNA4!$F$11:$F$128</definedName>
    <definedName name="A85125383L_Latest">[3]AustralianNA4!$F$128</definedName>
    <definedName name="A85125384R">[3]AustralianNA4!$G$1:$G$10,[3]AustralianNA4!$G$11:$G$128</definedName>
    <definedName name="A85125384R_Data">[3]AustralianNA4!$G$11:$G$128</definedName>
    <definedName name="A85125384R_Latest">[3]AustralianNA4!$G$128</definedName>
    <definedName name="A85125385T">[3]AustralianNA4!$H$1:$H$10,[3]AustralianNA4!$H$11:$H$128</definedName>
    <definedName name="A85125385T_Data">[3]AustralianNA4!$H$11:$H$128</definedName>
    <definedName name="A85125385T_Latest">[3]AustralianNA4!$H$128</definedName>
    <definedName name="A85125386V">[3]AustralianNA4!$I$1:$I$10,[3]AustralianNA4!$I$11:$I$128</definedName>
    <definedName name="A85125386V_Data">[3]AustralianNA4!$I$11:$I$128</definedName>
    <definedName name="A85125386V_Latest">[3]AustralianNA4!$I$128</definedName>
    <definedName name="A85125387W">[3]AustralianNA4!$J$1:$J$10,[3]AustralianNA4!$J$11:$J$128</definedName>
    <definedName name="A85125387W_Data">[3]AustralianNA4!$J$11:$J$128</definedName>
    <definedName name="A85125387W_Latest">[3]AustralianNA4!$J$128</definedName>
    <definedName name="A85125388X">[3]AustralianNA4!$K$1:$K$10,[3]AustralianNA4!$K$11:$K$128</definedName>
    <definedName name="A85125388X_Data">[3]AustralianNA4!$K$11:$K$128</definedName>
    <definedName name="A85125388X_Latest">[3]AustralianNA4!$K$128</definedName>
    <definedName name="A85125389A">[3]AustralianNA4!$L$1:$L$10,[3]AustralianNA4!$L$11:$L$128</definedName>
    <definedName name="A85125389A_Data">[3]AustralianNA4!$L$11:$L$128</definedName>
    <definedName name="A85125389A_Latest">[3]AustralianNA4!$L$128</definedName>
    <definedName name="A85125390K">[3]AustralianNA4!$M$1:$M$10,[3]AustralianNA4!$M$11:$M$128</definedName>
    <definedName name="A85125390K_Data">[3]AustralianNA4!$M$11:$M$128</definedName>
    <definedName name="A85125390K_Latest">[3]AustralianNA4!$M$128</definedName>
    <definedName name="A85125391L">[3]AustralianNA4!$N$1:$N$10,[3]AustralianNA4!$N$11:$N$128</definedName>
    <definedName name="A85125391L_Data">[3]AustralianNA4!$N$11:$N$128</definedName>
    <definedName name="A85125391L_Latest">[3]AustralianNA4!$N$128</definedName>
    <definedName name="A85125392R">[3]AustralianNA4!$O$1:$O$10,[3]AustralianNA4!$O$11:$O$128</definedName>
    <definedName name="A85125392R_Data">[3]AustralianNA4!$O$11:$O$128</definedName>
    <definedName name="A85125392R_Latest">[3]AustralianNA4!$O$128</definedName>
    <definedName name="A85125393T">[3]AustralianNA4!$P$1:$P$10,[3]AustralianNA4!$P$11:$P$128</definedName>
    <definedName name="A85125393T_Data">[3]AustralianNA4!$P$11:$P$128</definedName>
    <definedName name="A85125393T_Latest">[3]AustralianNA4!$P$128</definedName>
    <definedName name="A85125394V">[3]AustralianNA4!$Q$1:$Q$10,[3]AustralianNA4!$Q$11:$Q$128</definedName>
    <definedName name="A85125394V_Data">[3]AustralianNA4!$Q$11:$Q$128</definedName>
    <definedName name="A85125394V_Latest">[3]AustralianNA4!$Q$128</definedName>
    <definedName name="A85125811W">[3]AustralianNA5!$AC$1:$AC$10,[3]AustralianNA5!$AC$11:$AC$128</definedName>
    <definedName name="A85125811W_Data">[3]AustralianNA5!$AC$11:$AC$128</definedName>
    <definedName name="A85125811W_Latest">[3]AustralianNA5!$AC$128</definedName>
    <definedName name="A85125812X">[3]AustralianNA4!$AB$1:$AB$10,[3]AustralianNA4!$AB$11:$AB$128</definedName>
    <definedName name="A85125812X_Data">[3]AustralianNA4!$AB$11:$AB$128</definedName>
    <definedName name="A85125812X_Latest">[3]AustralianNA4!$AB$128</definedName>
    <definedName name="A85125813A">[3]AustralianNA5!$BG$1:$BG$10,[3]AustralianNA5!$BG$11:$BG$128</definedName>
    <definedName name="A85125813A_Data">[3]AustralianNA5!$BG$11:$BG$128</definedName>
    <definedName name="A85125813A_Latest">[3]AustralianNA5!$BG$128</definedName>
    <definedName name="A85125814C">[3]AustralianNA4!$BE$1:$BE$10,[3]AustralianNA4!$BE$11:$BE$128</definedName>
    <definedName name="A85125814C_Data">[3]AustralianNA4!$BE$11:$BE$128</definedName>
    <definedName name="A85125814C_Latest">[3]AustralianNA4!$BE$128</definedName>
    <definedName name="A85125815F">[3]AustralianNA5!$CK$1:$CK$10,[3]AustralianNA5!$CK$11:$CK$128</definedName>
    <definedName name="A85125815F_Data">[3]AustralianNA5!$CK$11:$CK$128</definedName>
    <definedName name="A85125815F_Latest">[3]AustralianNA5!$CK$128</definedName>
    <definedName name="A85125816J">[3]AustralianNA4!$CH$1:$CH$10,[3]AustralianNA4!$CH$11:$CH$128</definedName>
    <definedName name="A85125816J_Data">[3]AustralianNA4!$CH$11:$CH$128</definedName>
    <definedName name="A85125816J_Latest">[3]AustralianNA4!$CH$128</definedName>
    <definedName name="A85125817K">[3]AustralianNA5!$B$1:$B$10,[3]AustralianNA5!$B$11:$B$128</definedName>
    <definedName name="A85125817K_Data">[3]AustralianNA5!$B$11:$B$128</definedName>
    <definedName name="A85125817K_Latest">[3]AustralianNA5!$B$128</definedName>
    <definedName name="A85125818L">[3]AustralianNA5!$C$1:$C$10,[3]AustralianNA5!$C$11:$C$128</definedName>
    <definedName name="A85125818L_Data">[3]AustralianNA5!$C$11:$C$128</definedName>
    <definedName name="A85125818L_Latest">[3]AustralianNA5!$C$128</definedName>
    <definedName name="A85125819R">[3]AustralianNA5!$D$1:$D$10,[3]AustralianNA5!$D$11:$D$128</definedName>
    <definedName name="A85125819R_Data">[3]AustralianNA5!$D$11:$D$128</definedName>
    <definedName name="A85125819R_Latest">[3]AustralianNA5!$D$128</definedName>
    <definedName name="A85125820X">[3]AustralianNA5!$E$1:$E$10,[3]AustralianNA5!$E$11:$E$128</definedName>
    <definedName name="A85125820X_Data">[3]AustralianNA5!$E$11:$E$128</definedName>
    <definedName name="A85125820X_Latest">[3]AustralianNA5!$E$128</definedName>
    <definedName name="A85125821A">[3]AustralianNA5!$F$1:$F$10,[3]AustralianNA5!$F$11:$F$128</definedName>
    <definedName name="A85125821A_Data">[3]AustralianNA5!$F$11:$F$128</definedName>
    <definedName name="A85125821A_Latest">[3]AustralianNA5!$F$128</definedName>
    <definedName name="A85125822C">[3]AustralianNA5!$G$1:$G$10,[3]AustralianNA5!$G$11:$G$128</definedName>
    <definedName name="A85125822C_Data">[3]AustralianNA5!$G$11:$G$128</definedName>
    <definedName name="A85125822C_Latest">[3]AustralianNA5!$G$128</definedName>
    <definedName name="A85125823F">[3]AustralianNA5!$H$1:$H$10,[3]AustralianNA5!$H$11:$H$128</definedName>
    <definedName name="A85125823F_Data">[3]AustralianNA5!$H$11:$H$128</definedName>
    <definedName name="A85125823F_Latest">[3]AustralianNA5!$H$128</definedName>
    <definedName name="A85125824J">[3]AustralianNA5!$I$1:$I$10,[3]AustralianNA5!$I$11:$I$128</definedName>
    <definedName name="A85125824J_Data">[3]AustralianNA5!$I$11:$I$128</definedName>
    <definedName name="A85125824J_Latest">[3]AustralianNA5!$I$128</definedName>
    <definedName name="A85125825K">[3]AustralianNA5!$J$1:$J$10,[3]AustralianNA5!$J$11:$J$128</definedName>
    <definedName name="A85125825K_Data">[3]AustralianNA5!$J$11:$J$128</definedName>
    <definedName name="A85125825K_Latest">[3]AustralianNA5!$J$128</definedName>
    <definedName name="A85125826L">[3]AustralianNA5!$K$1:$K$10,[3]AustralianNA5!$K$11:$K$128</definedName>
    <definedName name="A85125826L_Data">[3]AustralianNA5!$K$11:$K$128</definedName>
    <definedName name="A85125826L_Latest">[3]AustralianNA5!$K$128</definedName>
    <definedName name="A85125827R">[3]AustralianNA5!$L$1:$L$10,[3]AustralianNA5!$L$11:$L$128</definedName>
    <definedName name="A85125827R_Data">[3]AustralianNA5!$L$11:$L$128</definedName>
    <definedName name="A85125827R_Latest">[3]AustralianNA5!$L$128</definedName>
    <definedName name="A85125828T">[3]AustralianNA5!$M$1:$M$10,[3]AustralianNA5!$M$11:$M$128</definedName>
    <definedName name="A85125828T_Data">[3]AustralianNA5!$M$11:$M$128</definedName>
    <definedName name="A85125828T_Latest">[3]AustralianNA5!$M$128</definedName>
    <definedName name="A85125829V">[3]AustralianNA5!$N$1:$N$10,[3]AustralianNA5!$N$11:$N$128</definedName>
    <definedName name="A85125829V_Data">[3]AustralianNA5!$N$11:$N$128</definedName>
    <definedName name="A85125829V_Latest">[3]AustralianNA5!$N$128</definedName>
    <definedName name="A85125830C">[3]AustralianNA5!$O$1:$O$10,[3]AustralianNA5!$O$11:$O$128</definedName>
    <definedName name="A85125830C_Data">[3]AustralianNA5!$O$11:$O$128</definedName>
    <definedName name="A85125830C_Latest">[3]AustralianNA5!$O$128</definedName>
    <definedName name="A85125831F">[3]AustralianNA5!$P$1:$P$10,[3]AustralianNA5!$P$11:$P$128</definedName>
    <definedName name="A85125831F_Data">[3]AustralianNA5!$P$11:$P$128</definedName>
    <definedName name="A85125831F_Latest">[3]AustralianNA5!$P$128</definedName>
    <definedName name="A85125832J">[3]AustralianNA5!$Q$1:$Q$10,[3]AustralianNA5!$Q$11:$Q$128</definedName>
    <definedName name="A85125832J_Data">[3]AustralianNA5!$Q$11:$Q$128</definedName>
    <definedName name="A85125832J_Latest">[3]AustralianNA5!$Q$128</definedName>
    <definedName name="A85125833K">[3]AustralianNA5!$R$1:$R$10,[3]AustralianNA5!$R$11:$R$128</definedName>
    <definedName name="A85125833K_Data">[3]AustralianNA5!$R$11:$R$128</definedName>
    <definedName name="A85125833K_Latest">[3]AustralianNA5!$R$128</definedName>
    <definedName name="A85125834L">[3]AustralianNA5!$S$1:$S$10,[3]AustralianNA5!$S$11:$S$128</definedName>
    <definedName name="A85125834L_Data">[3]AustralianNA5!$S$11:$S$128</definedName>
    <definedName name="A85125834L_Latest">[3]AustralianNA5!$S$128</definedName>
    <definedName name="A85125835R">[3]AustralianNA5!$T$1:$T$10,[3]AustralianNA5!$T$11:$T$128</definedName>
    <definedName name="A85125835R_Data">[3]AustralianNA5!$T$11:$T$128</definedName>
    <definedName name="A85125835R_Latest">[3]AustralianNA5!$T$128</definedName>
    <definedName name="A85125836T">[3]AustralianNA5!$U$1:$U$10,[3]AustralianNA5!$U$11:$U$128</definedName>
    <definedName name="A85125836T_Data">[3]AustralianNA5!$U$11:$U$128</definedName>
    <definedName name="A85125836T_Latest">[3]AustralianNA5!$U$128</definedName>
    <definedName name="A85125837V">[3]AustralianNA5!$V$1:$V$10,[3]AustralianNA5!$V$11:$V$128</definedName>
    <definedName name="A85125837V_Data">[3]AustralianNA5!$V$11:$V$128</definedName>
    <definedName name="A85125837V_Latest">[3]AustralianNA5!$V$128</definedName>
    <definedName name="A85125838W">[3]AustralianNA5!$W$1:$W$10,[3]AustralianNA5!$W$11:$W$128</definedName>
    <definedName name="A85125838W_Data">[3]AustralianNA5!$W$11:$W$128</definedName>
    <definedName name="A85125838W_Latest">[3]AustralianNA5!$W$128</definedName>
    <definedName name="A85125839X">[3]AustralianNA5!$X$1:$X$10,[3]AustralianNA5!$X$11:$X$128</definedName>
    <definedName name="A85125839X_Data">[3]AustralianNA5!$X$11:$X$128</definedName>
    <definedName name="A85125839X_Latest">[3]AustralianNA5!$X$128</definedName>
    <definedName name="A85125840J">[3]AustralianNA5!$Y$1:$Y$10,[3]AustralianNA5!$Y$11:$Y$128</definedName>
    <definedName name="A85125840J_Data">[3]AustralianNA5!$Y$11:$Y$128</definedName>
    <definedName name="A85125840J_Latest">[3]AustralianNA5!$Y$128</definedName>
    <definedName name="A85125841K">[3]AustralianNA5!$Z$1:$Z$10,[3]AustralianNA5!$Z$11:$Z$128</definedName>
    <definedName name="A85125841K_Data">[3]AustralianNA5!$Z$11:$Z$128</definedName>
    <definedName name="A85125841K_Latest">[3]AustralianNA5!$Z$128</definedName>
    <definedName name="A85125842L">[3]AustralianNA5!$AA$1:$AA$10,[3]AustralianNA5!$AA$11:$AA$128</definedName>
    <definedName name="A85125842L_Data">[3]AustralianNA5!$AA$11:$AA$128</definedName>
    <definedName name="A85125842L_Latest">[3]AustralianNA5!$AA$128</definedName>
    <definedName name="A85125843R">[3]AustralianNA5!$AB$1:$AB$10,[3]AustralianNA5!$AB$11:$AB$128</definedName>
    <definedName name="A85125843R_Data">[3]AustralianNA5!$AB$11:$AB$128</definedName>
    <definedName name="A85125843R_Latest">[3]AustralianNA5!$AB$128</definedName>
    <definedName name="A85125844T">[3]AustralianNA5!$AD$1:$AD$10,[3]AustralianNA5!$AD$11:$AD$128</definedName>
    <definedName name="A85125844T_Data">[3]AustralianNA5!$AD$11:$AD$128</definedName>
    <definedName name="A85125844T_Latest">[3]AustralianNA5!$AD$128</definedName>
    <definedName name="A85125845V">[3]AustralianNA5!$AE$1:$AE$10,[3]AustralianNA5!$AE$11:$AE$128</definedName>
    <definedName name="A85125845V_Data">[3]AustralianNA5!$AE$11:$AE$128</definedName>
    <definedName name="A85125845V_Latest">[3]AustralianNA5!$AE$128</definedName>
    <definedName name="A85125846W">[3]AustralianNA5!$AF$1:$AF$10,[3]AustralianNA5!$AF$11:$AF$128</definedName>
    <definedName name="A85125846W_Data">[3]AustralianNA5!$AF$11:$AF$128</definedName>
    <definedName name="A85125846W_Latest">[3]AustralianNA5!$AF$128</definedName>
    <definedName name="A85125847X">[3]AustralianNA5!$AG$1:$AG$10,[3]AustralianNA5!$AG$11:$AG$128</definedName>
    <definedName name="A85125847X_Data">[3]AustralianNA5!$AG$11:$AG$128</definedName>
    <definedName name="A85125847X_Latest">[3]AustralianNA5!$AG$128</definedName>
    <definedName name="A85125848A">[3]AustralianNA5!$AH$1:$AH$10,[3]AustralianNA5!$AH$11:$AH$128</definedName>
    <definedName name="A85125848A_Data">[3]AustralianNA5!$AH$11:$AH$128</definedName>
    <definedName name="A85125848A_Latest">[3]AustralianNA5!$AH$128</definedName>
    <definedName name="A85125849C">[3]AustralianNA5!$AI$1:$AI$10,[3]AustralianNA5!$AI$11:$AI$128</definedName>
    <definedName name="A85125849C_Data">[3]AustralianNA5!$AI$11:$AI$128</definedName>
    <definedName name="A85125849C_Latest">[3]AustralianNA5!$AI$128</definedName>
    <definedName name="A85125850L">[3]AustralianNA5!$AJ$1:$AJ$10,[3]AustralianNA5!$AJ$11:$AJ$128</definedName>
    <definedName name="A85125850L_Data">[3]AustralianNA5!$AJ$11:$AJ$128</definedName>
    <definedName name="A85125850L_Latest">[3]AustralianNA5!$AJ$128</definedName>
    <definedName name="A85125851R">[3]AustralianNA5!$AK$1:$AK$10,[3]AustralianNA5!$AK$11:$AK$128</definedName>
    <definedName name="A85125851R_Data">[3]AustralianNA5!$AK$11:$AK$128</definedName>
    <definedName name="A85125851R_Latest">[3]AustralianNA5!$AK$128</definedName>
    <definedName name="A85125852T">[3]AustralianNA5!$AL$1:$AL$10,[3]AustralianNA5!$AL$11:$AL$128</definedName>
    <definedName name="A85125852T_Data">[3]AustralianNA5!$AL$11:$AL$128</definedName>
    <definedName name="A85125852T_Latest">[3]AustralianNA5!$AL$128</definedName>
    <definedName name="A85125853V">[3]AustralianNA5!$AM$1:$AM$10,[3]AustralianNA5!$AM$11:$AM$128</definedName>
    <definedName name="A85125853V_Data">[3]AustralianNA5!$AM$11:$AM$128</definedName>
    <definedName name="A85125853V_Latest">[3]AustralianNA5!$AM$128</definedName>
    <definedName name="A85125854W">[3]AustralianNA5!$AN$1:$AN$10,[3]AustralianNA5!$AN$11:$AN$128</definedName>
    <definedName name="A85125854W_Data">[3]AustralianNA5!$AN$11:$AN$128</definedName>
    <definedName name="A85125854W_Latest">[3]AustralianNA5!$AN$128</definedName>
    <definedName name="A85125855X">[3]AustralianNA5!$AO$1:$AO$10,[3]AustralianNA5!$AO$11:$AO$128</definedName>
    <definedName name="A85125855X_Data">[3]AustralianNA5!$AO$11:$AO$128</definedName>
    <definedName name="A85125855X_Latest">[3]AustralianNA5!$AO$128</definedName>
    <definedName name="A85125856A">[3]AustralianNA5!$AP$1:$AP$10,[3]AustralianNA5!$AP$11:$AP$128</definedName>
    <definedName name="A85125856A_Data">[3]AustralianNA5!$AP$11:$AP$128</definedName>
    <definedName name="A85125856A_Latest">[3]AustralianNA5!$AP$128</definedName>
    <definedName name="A85125857C">[3]AustralianNA5!$AQ$1:$AQ$10,[3]AustralianNA5!$AQ$11:$AQ$128</definedName>
    <definedName name="A85125857C_Data">[3]AustralianNA5!$AQ$11:$AQ$128</definedName>
    <definedName name="A85125857C_Latest">[3]AustralianNA5!$AQ$128</definedName>
    <definedName name="A85125858F">[3]AustralianNA5!$AR$1:$AR$10,[3]AustralianNA5!$AR$11:$AR$128</definedName>
    <definedName name="A85125858F_Data">[3]AustralianNA5!$AR$11:$AR$128</definedName>
    <definedName name="A85125858F_Latest">[3]AustralianNA5!$AR$128</definedName>
    <definedName name="A85125859J">[3]AustralianNA5!$AS$1:$AS$10,[3]AustralianNA5!$AS$11:$AS$128</definedName>
    <definedName name="A85125859J_Data">[3]AustralianNA5!$AS$11:$AS$128</definedName>
    <definedName name="A85125859J_Latest">[3]AustralianNA5!$AS$128</definedName>
    <definedName name="A85125860T">[3]AustralianNA5!$AT$1:$AT$10,[3]AustralianNA5!$AT$11:$AT$128</definedName>
    <definedName name="A85125860T_Data">[3]AustralianNA5!$AT$11:$AT$128</definedName>
    <definedName name="A85125860T_Latest">[3]AustralianNA5!$AT$128</definedName>
    <definedName name="A85125861V">[3]AustralianNA5!$AU$1:$AU$10,[3]AustralianNA5!$AU$11:$AU$128</definedName>
    <definedName name="A85125861V_Data">[3]AustralianNA5!$AU$11:$AU$128</definedName>
    <definedName name="A85125861V_Latest">[3]AustralianNA5!$AU$128</definedName>
    <definedName name="A85125862W">[3]AustralianNA5!$AV$1:$AV$10,[3]AustralianNA5!$AV$11:$AV$128</definedName>
    <definedName name="A85125862W_Data">[3]AustralianNA5!$AV$11:$AV$128</definedName>
    <definedName name="A85125862W_Latest">[3]AustralianNA5!$AV$128</definedName>
    <definedName name="A85125863X">[3]AustralianNA5!$AW$1:$AW$10,[3]AustralianNA5!$AW$11:$AW$128</definedName>
    <definedName name="A85125863X_Data">[3]AustralianNA5!$AW$11:$AW$128</definedName>
    <definedName name="A85125863X_Latest">[3]AustralianNA5!$AW$128</definedName>
    <definedName name="A85125864A">[3]AustralianNA5!$AX$1:$AX$10,[3]AustralianNA5!$AX$11:$AX$128</definedName>
    <definedName name="A85125864A_Data">[3]AustralianNA5!$AX$11:$AX$128</definedName>
    <definedName name="A85125864A_Latest">[3]AustralianNA5!$AX$128</definedName>
    <definedName name="A85125865C">[3]AustralianNA5!$AY$1:$AY$10,[3]AustralianNA5!$AY$11:$AY$128</definedName>
    <definedName name="A85125865C_Data">[3]AustralianNA5!$AY$11:$AY$128</definedName>
    <definedName name="A85125865C_Latest">[3]AustralianNA5!$AY$128</definedName>
    <definedName name="A85125866F">[3]AustralianNA5!$AZ$1:$AZ$10,[3]AustralianNA5!$AZ$11:$AZ$128</definedName>
    <definedName name="A85125866F_Data">[3]AustralianNA5!$AZ$11:$AZ$128</definedName>
    <definedName name="A85125866F_Latest">[3]AustralianNA5!$AZ$128</definedName>
    <definedName name="A85125867J">[3]AustralianNA5!$BA$1:$BA$10,[3]AustralianNA5!$BA$11:$BA$128</definedName>
    <definedName name="A85125867J_Data">[3]AustralianNA5!$BA$11:$BA$128</definedName>
    <definedName name="A85125867J_Latest">[3]AustralianNA5!$BA$128</definedName>
    <definedName name="A85125868K">[3]AustralianNA5!$BB$1:$BB$10,[3]AustralianNA5!$BB$11:$BB$128</definedName>
    <definedName name="A85125868K_Data">[3]AustralianNA5!$BB$11:$BB$128</definedName>
    <definedName name="A85125868K_Latest">[3]AustralianNA5!$BB$128</definedName>
    <definedName name="A85125869L">[3]AustralianNA5!$BC$1:$BC$10,[3]AustralianNA5!$BC$11:$BC$128</definedName>
    <definedName name="A85125869L_Data">[3]AustralianNA5!$BC$11:$BC$128</definedName>
    <definedName name="A85125869L_Latest">[3]AustralianNA5!$BC$128</definedName>
    <definedName name="A85125870W">[3]AustralianNA5!$BD$1:$BD$10,[3]AustralianNA5!$BD$11:$BD$128</definedName>
    <definedName name="A85125870W_Data">[3]AustralianNA5!$BD$11:$BD$128</definedName>
    <definedName name="A85125870W_Latest">[3]AustralianNA5!$BD$128</definedName>
    <definedName name="A85125871X">[3]AustralianNA5!$BE$1:$BE$10,[3]AustralianNA5!$BE$11:$BE$128</definedName>
    <definedName name="A85125871X_Data">[3]AustralianNA5!$BE$11:$BE$128</definedName>
    <definedName name="A85125871X_Latest">[3]AustralianNA5!$BE$128</definedName>
    <definedName name="A85125872A">[3]AustralianNA5!$BF$1:$BF$10,[3]AustralianNA5!$BF$11:$BF$128</definedName>
    <definedName name="A85125872A_Data">[3]AustralianNA5!$BF$11:$BF$128</definedName>
    <definedName name="A85125872A_Latest">[3]AustralianNA5!$BF$128</definedName>
    <definedName name="A85125873C">[3]AustralianNA5!$BH$1:$BH$10,[3]AustralianNA5!$BH$11:$BH$128</definedName>
    <definedName name="A85125873C_Data">[3]AustralianNA5!$BH$11:$BH$128</definedName>
    <definedName name="A85125873C_Latest">[3]AustralianNA5!$BH$128</definedName>
    <definedName name="A85125874F">[3]AustralianNA5!$BI$1:$BI$10,[3]AustralianNA5!$BI$11:$BI$128</definedName>
    <definedName name="A85125874F_Data">[3]AustralianNA5!$BI$11:$BI$128</definedName>
    <definedName name="A85125874F_Latest">[3]AustralianNA5!$BI$128</definedName>
    <definedName name="A85125875J">[3]AustralianNA5!$BJ$1:$BJ$10,[3]AustralianNA5!$BJ$11:$BJ$128</definedName>
    <definedName name="A85125875J_Data">[3]AustralianNA5!$BJ$11:$BJ$128</definedName>
    <definedName name="A85125875J_Latest">[3]AustralianNA5!$BJ$128</definedName>
    <definedName name="A85125876K">[3]AustralianNA5!$BK$1:$BK$10,[3]AustralianNA5!$BK$11:$BK$128</definedName>
    <definedName name="A85125876K_Data">[3]AustralianNA5!$BK$11:$BK$128</definedName>
    <definedName name="A85125876K_Latest">[3]AustralianNA5!$BK$128</definedName>
    <definedName name="A85125877L">[3]AustralianNA5!$BL$1:$BL$10,[3]AustralianNA5!$BL$11:$BL$128</definedName>
    <definedName name="A85125877L_Data">[3]AustralianNA5!$BL$11:$BL$128</definedName>
    <definedName name="A85125877L_Latest">[3]AustralianNA5!$BL$128</definedName>
    <definedName name="A85125878R">[3]AustralianNA5!$BM$1:$BM$10,[3]AustralianNA5!$BM$11:$BM$128</definedName>
    <definedName name="A85125878R_Data">[3]AustralianNA5!$BM$11:$BM$128</definedName>
    <definedName name="A85125878R_Latest">[3]AustralianNA5!$BM$128</definedName>
    <definedName name="A85125879T">[3]AustralianNA5!$BN$1:$BN$10,[3]AustralianNA5!$BN$11:$BN$128</definedName>
    <definedName name="A85125879T_Data">[3]AustralianNA5!$BN$11:$BN$128</definedName>
    <definedName name="A85125879T_Latest">[3]AustralianNA5!$BN$128</definedName>
    <definedName name="A85125880A">[3]AustralianNA5!$BO$1:$BO$10,[3]AustralianNA5!$BO$11:$BO$128</definedName>
    <definedName name="A85125880A_Data">[3]AustralianNA5!$BO$11:$BO$128</definedName>
    <definedName name="A85125880A_Latest">[3]AustralianNA5!$BO$128</definedName>
    <definedName name="A85125881C">[3]AustralianNA5!$BP$1:$BP$10,[3]AustralianNA5!$BP$11:$BP$128</definedName>
    <definedName name="A85125881C_Data">[3]AustralianNA5!$BP$11:$BP$128</definedName>
    <definedName name="A85125881C_Latest">[3]AustralianNA5!$BP$128</definedName>
    <definedName name="A85125882F">[3]AustralianNA5!$BQ$1:$BQ$10,[3]AustralianNA5!$BQ$11:$BQ$128</definedName>
    <definedName name="A85125882F_Data">[3]AustralianNA5!$BQ$11:$BQ$128</definedName>
    <definedName name="A85125882F_Latest">[3]AustralianNA5!$BQ$128</definedName>
    <definedName name="A85125883J">[3]AustralianNA5!$BR$1:$BR$10,[3]AustralianNA5!$BR$11:$BR$128</definedName>
    <definedName name="A85125883J_Data">[3]AustralianNA5!$BR$11:$BR$128</definedName>
    <definedName name="A85125883J_Latest">[3]AustralianNA5!$BR$128</definedName>
    <definedName name="A85125884K">[3]AustralianNA5!$BS$1:$BS$10,[3]AustralianNA5!$BS$11:$BS$128</definedName>
    <definedName name="A85125884K_Data">[3]AustralianNA5!$BS$11:$BS$128</definedName>
    <definedName name="A85125884K_Latest">[3]AustralianNA5!$BS$128</definedName>
    <definedName name="A85125885L">[3]AustralianNA5!$BT$1:$BT$10,[3]AustralianNA5!$BT$11:$BT$128</definedName>
    <definedName name="A85125885L_Data">[3]AustralianNA5!$BT$11:$BT$128</definedName>
    <definedName name="A85125885L_Latest">[3]AustralianNA5!$BT$128</definedName>
    <definedName name="A85125886R">[3]AustralianNA5!$BU$1:$BU$10,[3]AustralianNA5!$BU$11:$BU$128</definedName>
    <definedName name="A85125886R_Data">[3]AustralianNA5!$BU$11:$BU$128</definedName>
    <definedName name="A85125886R_Latest">[3]AustralianNA5!$BU$128</definedName>
    <definedName name="A85125887T">[3]AustralianNA5!$BV$1:$BV$10,[3]AustralianNA5!$BV$11:$BV$128</definedName>
    <definedName name="A85125887T_Data">[3]AustralianNA5!$BV$11:$BV$128</definedName>
    <definedName name="A85125887T_Latest">[3]AustralianNA5!$BV$128</definedName>
    <definedName name="A85125888V">[3]AustralianNA5!$BW$1:$BW$10,[3]AustralianNA5!$BW$11:$BW$128</definedName>
    <definedName name="A85125888V_Data">[3]AustralianNA5!$BW$11:$BW$128</definedName>
    <definedName name="A85125888V_Latest">[3]AustralianNA5!$BW$128</definedName>
    <definedName name="A85125889W">[3]AustralianNA5!$BX$1:$BX$10,[3]AustralianNA5!$BX$11:$BX$128</definedName>
    <definedName name="A85125889W_Data">[3]AustralianNA5!$BX$11:$BX$128</definedName>
    <definedName name="A85125889W_Latest">[3]AustralianNA5!$BX$128</definedName>
    <definedName name="A85125890F">[3]AustralianNA5!$BY$1:$BY$10,[3]AustralianNA5!$BY$11:$BY$128</definedName>
    <definedName name="A85125890F_Data">[3]AustralianNA5!$BY$11:$BY$128</definedName>
    <definedName name="A85125890F_Latest">[3]AustralianNA5!$BY$128</definedName>
    <definedName name="A85125891J">[3]AustralianNA5!$BZ$1:$BZ$10,[3]AustralianNA5!$BZ$11:$BZ$128</definedName>
    <definedName name="A85125891J_Data">[3]AustralianNA5!$BZ$11:$BZ$128</definedName>
    <definedName name="A85125891J_Latest">[3]AustralianNA5!$BZ$128</definedName>
    <definedName name="A85125892K">[3]AustralianNA5!$CA$1:$CA$10,[3]AustralianNA5!$CA$11:$CA$128</definedName>
    <definedName name="A85125892K_Data">[3]AustralianNA5!$CA$11:$CA$128</definedName>
    <definedName name="A85125892K_Latest">[3]AustralianNA5!$CA$128</definedName>
    <definedName name="A85125893L">[3]AustralianNA5!$CB$1:$CB$10,[3]AustralianNA5!$CB$11:$CB$128</definedName>
    <definedName name="A85125893L_Data">[3]AustralianNA5!$CB$11:$CB$128</definedName>
    <definedName name="A85125893L_Latest">[3]AustralianNA5!$CB$128</definedName>
    <definedName name="A85125894R">[3]AustralianNA5!$CC$1:$CC$10,[3]AustralianNA5!$CC$11:$CC$128</definedName>
    <definedName name="A85125894R_Data">[3]AustralianNA5!$CC$11:$CC$128</definedName>
    <definedName name="A85125894R_Latest">[3]AustralianNA5!$CC$128</definedName>
    <definedName name="A85125895T">[3]AustralianNA5!$CD$1:$CD$10,[3]AustralianNA5!$CD$11:$CD$128</definedName>
    <definedName name="A85125895T_Data">[3]AustralianNA5!$CD$11:$CD$128</definedName>
    <definedName name="A85125895T_Latest">[3]AustralianNA5!$CD$128</definedName>
    <definedName name="A85125896V">[3]AustralianNA5!$CE$1:$CE$10,[3]AustralianNA5!$CE$11:$CE$128</definedName>
    <definedName name="A85125896V_Data">[3]AustralianNA5!$CE$11:$CE$128</definedName>
    <definedName name="A85125896V_Latest">[3]AustralianNA5!$CE$128</definedName>
    <definedName name="A85125897W">[3]AustralianNA5!$CF$1:$CF$10,[3]AustralianNA5!$CF$11:$CF$128</definedName>
    <definedName name="A85125897W_Data">[3]AustralianNA5!$CF$11:$CF$128</definedName>
    <definedName name="A85125897W_Latest">[3]AustralianNA5!$CF$128</definedName>
    <definedName name="A85125898X">[3]AustralianNA5!$CG$1:$CG$10,[3]AustralianNA5!$CG$11:$CG$128</definedName>
    <definedName name="A85125898X_Data">[3]AustralianNA5!$CG$11:$CG$128</definedName>
    <definedName name="A85125898X_Latest">[3]AustralianNA5!$CG$128</definedName>
    <definedName name="A85125899A">[3]AustralianNA5!$CH$1:$CH$10,[3]AustralianNA5!$CH$11:$CH$128</definedName>
    <definedName name="A85125899A_Data">[3]AustralianNA5!$CH$11:$CH$128</definedName>
    <definedName name="A85125899A_Latest">[3]AustralianNA5!$CH$128</definedName>
    <definedName name="A85125900X">[3]AustralianNA5!$CI$1:$CI$10,[3]AustralianNA5!$CI$11:$CI$128</definedName>
    <definedName name="A85125900X_Data">[3]AustralianNA5!$CI$11:$CI$128</definedName>
    <definedName name="A85125900X_Latest">[3]AustralianNA5!$CI$128</definedName>
    <definedName name="A85125901A">[3]AustralianNA5!$CJ$1:$CJ$10,[3]AustralianNA5!$CJ$11:$CJ$128</definedName>
    <definedName name="A85125901A_Data">[3]AustralianNA5!$CJ$11:$CJ$128</definedName>
    <definedName name="A85125901A_Latest">[3]AustralianNA5!$CJ$128</definedName>
    <definedName name="A85125902C">[3]AustralianNA5!$CL$1:$CL$10,[3]AustralianNA5!$CL$11:$CL$128</definedName>
    <definedName name="A85125902C_Data">[3]AustralianNA5!$CL$11:$CL$128</definedName>
    <definedName name="A85125902C_Latest">[3]AustralianNA5!$CL$128</definedName>
    <definedName name="A85125903F">[3]AustralianNA5!$CM$1:$CM$10,[3]AustralianNA5!$CM$11:$CM$128</definedName>
    <definedName name="A85125903F_Data">[3]AustralianNA5!$CM$11:$CM$128</definedName>
    <definedName name="A85125903F_Latest">[3]AustralianNA5!$CM$128</definedName>
    <definedName name="A85231682X">[3]AustralianNA2!$BS$1:$BS$10,[3]AustralianNA2!$BS$120:$BS$244</definedName>
    <definedName name="A85231682X_Data">[3]AustralianNA2!$BS$120:$BS$244</definedName>
    <definedName name="A85231682X_Latest">[3]AustralianNA2!$BS$244</definedName>
    <definedName name="A85231684C">[3]AustralianNA2!$BY$1:$BY$10,[3]AustralianNA2!$BY$152:$BY$244</definedName>
    <definedName name="A85231684C_Data">[3]AustralianNA2!$BY$152:$BY$244</definedName>
    <definedName name="A85231684C_Latest">[3]AustralianNA2!$BY$244</definedName>
    <definedName name="A85231686J">[3]AustralianNA2!$BZ$1:$BZ$10,[3]AustralianNA2!$BZ$152:$BZ$244</definedName>
    <definedName name="A85231686J_Data">[3]AustralianNA2!$BZ$152:$BZ$244</definedName>
    <definedName name="A85231686J_Latest">[3]AustralianNA2!$BZ$244</definedName>
    <definedName name="A85231688L">[3]AustralianNA2!$CA$1:$CA$10,[3]AustralianNA2!$CA$152:$CA$244</definedName>
    <definedName name="A85231688L_Data">[3]AustralianNA2!$CA$152:$CA$244</definedName>
    <definedName name="A85231688L_Latest">[3]AustralianNA2!$CA$244</definedName>
    <definedName name="A85231690X">[3]AustralianNA2!$CK$1:$CK$10,[3]AustralianNA2!$CK$152:$CK$244</definedName>
    <definedName name="A85231690X_Data">[3]AustralianNA2!$CK$152:$CK$244</definedName>
    <definedName name="A85231690X_Latest">[3]AustralianNA2!$CK$244</definedName>
    <definedName name="A85231692C">[3]AustralianNA2!$CL$1:$CL$10,[3]AustralianNA2!$CL$152:$CL$244</definedName>
    <definedName name="A85231692C_Data">[3]AustralianNA2!$CL$152:$CL$244</definedName>
    <definedName name="A85231692C_Latest">[3]AustralianNA2!$CL$244</definedName>
    <definedName name="A85231694J">[3]AustralianNA2!$CN$1:$CN$10,[3]AustralianNA2!$CN$152:$CN$244</definedName>
    <definedName name="A85231694J_Data">[3]AustralianNA2!$CN$152:$CN$244</definedName>
    <definedName name="A85231694J_Latest">[3]AustralianNA2!$CN$244</definedName>
    <definedName name="A85231696L">[3]AustralianNA2!$CO$1:$CO$10,[3]AustralianNA2!$CO$152:$CO$244</definedName>
    <definedName name="A85231696L_Data">[3]AustralianNA2!$CO$152:$CO$244</definedName>
    <definedName name="A85231696L_Latest">[3]AustralianNA2!$CO$244</definedName>
    <definedName name="A85231698T">[3]AustralianNA2!$CQ$1:$CQ$10,[3]AustralianNA2!$CQ$152:$CQ$244</definedName>
    <definedName name="A85231698T_Data">[3]AustralianNA2!$CQ$152:$CQ$244</definedName>
    <definedName name="A85231698T_Latest">[3]AustralianNA2!$CQ$244</definedName>
    <definedName name="A85231700T">[3]AustralianNA2!$CR$1:$CR$10,[3]AustralianNA2!$CR$152:$CR$244</definedName>
    <definedName name="A85231700T_Data">[3]AustralianNA2!$CR$152:$CR$244</definedName>
    <definedName name="A85231700T_Latest">[3]AustralianNA2!$CR$244</definedName>
    <definedName name="A85231702W">[3]AustralianNA2!$CT$1:$CT$10,[3]AustralianNA2!$CT$152:$CT$244</definedName>
    <definedName name="A85231702W_Data">[3]AustralianNA2!$CT$152:$CT$244</definedName>
    <definedName name="A85231702W_Latest">[3]AustralianNA2!$CT$244</definedName>
    <definedName name="A85231704A">[3]AustralianNA2!$CU$1:$CU$10,[3]AustralianNA2!$CU$152:$CU$244</definedName>
    <definedName name="A85231704A_Data">[3]AustralianNA2!$CU$152:$CU$244</definedName>
    <definedName name="A85231704A_Latest">[3]AustralianNA2!$CU$244</definedName>
    <definedName name="A85231706F">[3]AustralianNA2!$FX$1:$FX$10,[3]AustralianNA2!$FX$120:$FX$244</definedName>
    <definedName name="A85231706F_Data">[3]AustralianNA2!$FX$120:$FX$244</definedName>
    <definedName name="A85231706F_Latest">[3]AustralianNA2!$FX$244</definedName>
    <definedName name="A85231708K">[3]AustralianNA2!$GD$1:$GD$10,[3]AustralianNA2!$GD$152:$GD$244</definedName>
    <definedName name="A85231708K_Data">[3]AustralianNA2!$GD$152:$GD$244</definedName>
    <definedName name="A85231708K_Latest">[3]AustralianNA2!$GD$244</definedName>
    <definedName name="A85231710W">[3]AustralianNA2!$GE$1:$GE$10,[3]AustralianNA2!$GE$152:$GE$244</definedName>
    <definedName name="A85231710W_Data">[3]AustralianNA2!$GE$152:$GE$244</definedName>
    <definedName name="A85231710W_Latest">[3]AustralianNA2!$GE$244</definedName>
    <definedName name="A85231712A">[3]AustralianNA2!$GF$1:$GF$10,[3]AustralianNA2!$GF$152:$GF$244</definedName>
    <definedName name="A85231712A_Data">[3]AustralianNA2!$GF$152:$GF$244</definedName>
    <definedName name="A85231712A_Latest">[3]AustralianNA2!$GF$244</definedName>
    <definedName name="A85231714F">[3]AustralianNA2!$GP$1:$GP$10,[3]AustralianNA2!$GP$152:$GP$244</definedName>
    <definedName name="A85231714F_Data">[3]AustralianNA2!$GP$152:$GP$244</definedName>
    <definedName name="A85231714F_Latest">[3]AustralianNA2!$GP$244</definedName>
    <definedName name="A85231716K">[3]AustralianNA2!$GQ$1:$GQ$10,[3]AustralianNA2!$GQ$152:$GQ$244</definedName>
    <definedName name="A85231716K_Data">[3]AustralianNA2!$GQ$152:$GQ$244</definedName>
    <definedName name="A85231716K_Latest">[3]AustralianNA2!$GQ$244</definedName>
    <definedName name="A85231718R">[3]AustralianNA2!$GS$1:$GS$10,[3]AustralianNA2!$GS$152:$GS$244</definedName>
    <definedName name="A85231718R_Data">[3]AustralianNA2!$GS$152:$GS$244</definedName>
    <definedName name="A85231718R_Latest">[3]AustralianNA2!$GS$244</definedName>
    <definedName name="A85231720A">[3]AustralianNA2!$GT$1:$GT$10,[3]AustralianNA2!$GT$152:$GT$244</definedName>
    <definedName name="A85231720A_Data">[3]AustralianNA2!$GT$152:$GT$244</definedName>
    <definedName name="A85231720A_Latest">[3]AustralianNA2!$GT$244</definedName>
    <definedName name="A85231722F">[3]AustralianNA2!$GV$1:$GV$10,[3]AustralianNA2!$GV$152:$GV$244</definedName>
    <definedName name="A85231722F_Data">[3]AustralianNA2!$GV$152:$GV$244</definedName>
    <definedName name="A85231722F_Latest">[3]AustralianNA2!$GV$244</definedName>
    <definedName name="A85231724K">[3]AustralianNA2!$GW$1:$GW$10,[3]AustralianNA2!$GW$152:$GW$244</definedName>
    <definedName name="A85231724K_Data">[3]AustralianNA2!$GW$152:$GW$244</definedName>
    <definedName name="A85231724K_Latest">[3]AustralianNA2!$GW$244</definedName>
    <definedName name="A85231726R">[3]AustralianNA2!$GY$1:$GY$10,[3]AustralianNA2!$GY$152:$GY$244</definedName>
    <definedName name="A85231726R_Data">[3]AustralianNA2!$GY$152:$GY$244</definedName>
    <definedName name="A85231726R_Latest">[3]AustralianNA2!$GY$244</definedName>
    <definedName name="A85231728V">[3]AustralianNA2!$GZ$1:$GZ$10,[3]AustralianNA2!$GZ$152:$GZ$244</definedName>
    <definedName name="A85231728V_Data">[3]AustralianNA2!$GZ$152:$GZ$244</definedName>
    <definedName name="A85231728V_Latest">[3]AustralianNA2!$GZ$244</definedName>
    <definedName name="A85231730F">[3]AustralianNA3!$AM$1:$AM$10,[3]AustralianNA3!$AM$120:$AM$244</definedName>
    <definedName name="A85231730F_Data">[3]AustralianNA3!$AM$120:$AM$244</definedName>
    <definedName name="A85231730F_Latest">[3]AustralianNA3!$AM$244</definedName>
    <definedName name="A85231731J">[3]AustralianNA3!$AS$1:$AS$10,[3]AustralianNA3!$AS$152:$AS$244</definedName>
    <definedName name="A85231731J_Data">[3]AustralianNA3!$AS$152:$AS$244</definedName>
    <definedName name="A85231731J_Latest">[3]AustralianNA3!$AS$244</definedName>
    <definedName name="A85231732K">[3]AustralianNA3!$AT$1:$AT$10,[3]AustralianNA3!$AT$152:$AT$244</definedName>
    <definedName name="A85231732K_Data">[3]AustralianNA3!$AT$152:$AT$244</definedName>
    <definedName name="A85231732K_Latest">[3]AustralianNA3!$AT$244</definedName>
    <definedName name="A85231733L">[3]AustralianNA3!$AU$1:$AU$10,[3]AustralianNA3!$AU$152:$AU$244</definedName>
    <definedName name="A85231733L_Data">[3]AustralianNA3!$AU$152:$AU$244</definedName>
    <definedName name="A85231733L_Latest">[3]AustralianNA3!$AU$244</definedName>
    <definedName name="A85231734R">[3]AustralianNA3!$BE$1:$BE$10,[3]AustralianNA3!$BE$152:$BE$244</definedName>
    <definedName name="A85231734R_Data">[3]AustralianNA3!$BE$152:$BE$244</definedName>
    <definedName name="A85231734R_Latest">[3]AustralianNA3!$BE$244</definedName>
    <definedName name="A85231735T">[3]AustralianNA3!$BF$1:$BF$10,[3]AustralianNA3!$BF$152:$BF$244</definedName>
    <definedName name="A85231735T_Data">[3]AustralianNA3!$BF$152:$BF$244</definedName>
    <definedName name="A85231735T_Latest">[3]AustralianNA3!$BF$244</definedName>
    <definedName name="A85231736V">[3]AustralianNA3!$BH$1:$BH$10,[3]AustralianNA3!$BH$152:$BH$244</definedName>
    <definedName name="A85231736V_Data">[3]AustralianNA3!$BH$152:$BH$244</definedName>
    <definedName name="A85231736V_Latest">[3]AustralianNA3!$BH$244</definedName>
    <definedName name="A85231737W">[3]AustralianNA3!$BI$1:$BI$10,[3]AustralianNA3!$BI$152:$BI$244</definedName>
    <definedName name="A85231737W_Data">[3]AustralianNA3!$BI$152:$BI$244</definedName>
    <definedName name="A85231737W_Latest">[3]AustralianNA3!$BI$244</definedName>
    <definedName name="A85231738X">[3]AustralianNA3!$BK$1:$BK$10,[3]AustralianNA3!$BK$152:$BK$244</definedName>
    <definedName name="A85231738X_Data">[3]AustralianNA3!$BK$152:$BK$244</definedName>
    <definedName name="A85231738X_Latest">[3]AustralianNA3!$BK$244</definedName>
    <definedName name="A85231739A">[3]AustralianNA3!$BL$1:$BL$10,[3]AustralianNA3!$BL$152:$BL$244</definedName>
    <definedName name="A85231739A_Data">[3]AustralianNA3!$BL$152:$BL$244</definedName>
    <definedName name="A85231739A_Latest">[3]AustralianNA3!$BL$244</definedName>
    <definedName name="A85231740K">[3]AustralianNA3!$BN$1:$BN$10,[3]AustralianNA3!$BN$152:$BN$244</definedName>
    <definedName name="A85231740K_Data">[3]AustralianNA3!$BN$152:$BN$244</definedName>
    <definedName name="A85231740K_Latest">[3]AustralianNA3!$BN$244</definedName>
    <definedName name="A85231741L">[3]AustralianNA3!$BO$1:$BO$10,[3]AustralianNA3!$BO$152:$BO$244</definedName>
    <definedName name="A85231741L_Data">[3]AustralianNA3!$BO$152:$BO$244</definedName>
    <definedName name="A85231741L_Latest">[3]AustralianNA3!$BO$244</definedName>
    <definedName name="A85231742R">[3]AustralianNA2!$P$1:$P$10,[3]AustralianNA2!$P$119:$P$244</definedName>
    <definedName name="A85231742R_Data">[3]AustralianNA2!$P$119:$P$244</definedName>
    <definedName name="A85231742R_Latest">[3]AustralianNA2!$P$244</definedName>
    <definedName name="A85231743T">[3]AustralianNA2!$V$1:$V$10,[3]AustralianNA2!$V$151:$V$244</definedName>
    <definedName name="A85231743T_Data">[3]AustralianNA2!$V$151:$V$244</definedName>
    <definedName name="A85231743T_Latest">[3]AustralianNA2!$V$244</definedName>
    <definedName name="A85231744V">[3]AustralianNA2!$W$1:$W$10,[3]AustralianNA2!$W$151:$W$244</definedName>
    <definedName name="A85231744V_Data">[3]AustralianNA2!$W$151:$W$244</definedName>
    <definedName name="A85231744V_Latest">[3]AustralianNA2!$W$244</definedName>
    <definedName name="A85231745W">[3]AustralianNA2!$X$1:$X$10,[3]AustralianNA2!$X$151:$X$244</definedName>
    <definedName name="A85231745W_Data">[3]AustralianNA2!$X$151:$X$244</definedName>
    <definedName name="A85231745W_Latest">[3]AustralianNA2!$X$244</definedName>
    <definedName name="A85231746X">[3]AustralianNA2!$AH$1:$AH$10,[3]AustralianNA2!$AH$151:$AH$244</definedName>
    <definedName name="A85231746X_Data">[3]AustralianNA2!$AH$151:$AH$244</definedName>
    <definedName name="A85231746X_Latest">[3]AustralianNA2!$AH$244</definedName>
    <definedName name="A85231747A">[3]AustralianNA2!$AI$1:$AI$10,[3]AustralianNA2!$AI$151:$AI$244</definedName>
    <definedName name="A85231747A_Data">[3]AustralianNA2!$AI$151:$AI$244</definedName>
    <definedName name="A85231747A_Latest">[3]AustralianNA2!$AI$244</definedName>
    <definedName name="A85231748C">[3]AustralianNA2!$AK$1:$AK$10,[3]AustralianNA2!$AK$151:$AK$244</definedName>
    <definedName name="A85231748C_Data">[3]AustralianNA2!$AK$151:$AK$244</definedName>
    <definedName name="A85231748C_Latest">[3]AustralianNA2!$AK$244</definedName>
    <definedName name="A85231749F">[3]AustralianNA2!$AL$1:$AL$10,[3]AustralianNA2!$AL$151:$AL$244</definedName>
    <definedName name="A85231749F_Data">[3]AustralianNA2!$AL$151:$AL$244</definedName>
    <definedName name="A85231749F_Latest">[3]AustralianNA2!$AL$244</definedName>
    <definedName name="A85231750R">[3]AustralianNA2!$AN$1:$AN$10,[3]AustralianNA2!$AN$151:$AN$244</definedName>
    <definedName name="A85231750R_Data">[3]AustralianNA2!$AN$151:$AN$244</definedName>
    <definedName name="A85231750R_Latest">[3]AustralianNA2!$AN$244</definedName>
    <definedName name="A85231751T">[3]AustralianNA2!$AO$1:$AO$10,[3]AustralianNA2!$AO$151:$AO$244</definedName>
    <definedName name="A85231751T_Data">[3]AustralianNA2!$AO$151:$AO$244</definedName>
    <definedName name="A85231751T_Latest">[3]AustralianNA2!$AO$244</definedName>
    <definedName name="A85231752V">[3]AustralianNA2!$AQ$1:$AQ$10,[3]AustralianNA2!$AQ$151:$AQ$244</definedName>
    <definedName name="A85231752V_Data">[3]AustralianNA2!$AQ$151:$AQ$244</definedName>
    <definedName name="A85231752V_Latest">[3]AustralianNA2!$AQ$244</definedName>
    <definedName name="A85231753W">[3]AustralianNA2!$AR$1:$AR$10,[3]AustralianNA2!$AR$151:$AR$244</definedName>
    <definedName name="A85231753W_Data">[3]AustralianNA2!$AR$151:$AR$244</definedName>
    <definedName name="A85231753W_Latest">[3]AustralianNA2!$AR$244</definedName>
    <definedName name="A85231754X">[3]AustralianNA2!$DU$1:$DU$10,[3]AustralianNA2!$DU$119:$DU$244</definedName>
    <definedName name="A85231754X_Data">[3]AustralianNA2!$DU$119:$DU$244</definedName>
    <definedName name="A85231754X_Latest">[3]AustralianNA2!$DU$244</definedName>
    <definedName name="A85231755A">[3]AustralianNA2!$EA$1:$EA$10,[3]AustralianNA2!$EA$151:$EA$244</definedName>
    <definedName name="A85231755A_Data">[3]AustralianNA2!$EA$151:$EA$244</definedName>
    <definedName name="A85231755A_Latest">[3]AustralianNA2!$EA$244</definedName>
    <definedName name="A85231756C">[3]AustralianNA2!$EB$1:$EB$10,[3]AustralianNA2!$EB$151:$EB$244</definedName>
    <definedName name="A85231756C_Data">[3]AustralianNA2!$EB$151:$EB$244</definedName>
    <definedName name="A85231756C_Latest">[3]AustralianNA2!$EB$244</definedName>
    <definedName name="A85231757F">[3]AustralianNA2!$EC$1:$EC$10,[3]AustralianNA2!$EC$151:$EC$244</definedName>
    <definedName name="A85231757F_Data">[3]AustralianNA2!$EC$151:$EC$244</definedName>
    <definedName name="A85231757F_Latest">[3]AustralianNA2!$EC$244</definedName>
    <definedName name="A85231758J">[3]AustralianNA2!$EM$1:$EM$10,[3]AustralianNA2!$EM$151:$EM$244</definedName>
    <definedName name="A85231758J_Data">[3]AustralianNA2!$EM$151:$EM$244</definedName>
    <definedName name="A85231758J_Latest">[3]AustralianNA2!$EM$244</definedName>
    <definedName name="A85231759K">[3]AustralianNA2!$EN$1:$EN$10,[3]AustralianNA2!$EN$151:$EN$244</definedName>
    <definedName name="A85231759K_Data">[3]AustralianNA2!$EN$151:$EN$244</definedName>
    <definedName name="A85231759K_Latest">[3]AustralianNA2!$EN$244</definedName>
    <definedName name="A85231760V">[3]AustralianNA2!$EP$1:$EP$10,[3]AustralianNA2!$EP$151:$EP$244</definedName>
    <definedName name="A85231760V_Data">[3]AustralianNA2!$EP$151:$EP$244</definedName>
    <definedName name="A85231760V_Latest">[3]AustralianNA2!$EP$244</definedName>
    <definedName name="A85231761W">[3]AustralianNA2!$EQ$1:$EQ$10,[3]AustralianNA2!$EQ$151:$EQ$244</definedName>
    <definedName name="A85231761W_Data">[3]AustralianNA2!$EQ$151:$EQ$244</definedName>
    <definedName name="A85231761W_Latest">[3]AustralianNA2!$EQ$244</definedName>
    <definedName name="A85231762X">[3]AustralianNA2!$ES$1:$ES$10,[3]AustralianNA2!$ES$151:$ES$244</definedName>
    <definedName name="A85231762X_Data">[3]AustralianNA2!$ES$151:$ES$244</definedName>
    <definedName name="A85231762X_Latest">[3]AustralianNA2!$ES$244</definedName>
    <definedName name="A85231763A">[3]AustralianNA2!$ET$1:$ET$10,[3]AustralianNA2!$ET$151:$ET$244</definedName>
    <definedName name="A85231763A_Data">[3]AustralianNA2!$ET$151:$ET$244</definedName>
    <definedName name="A85231763A_Latest">[3]AustralianNA2!$ET$244</definedName>
    <definedName name="A85231764C">[3]AustralianNA2!$EV$1:$EV$10,[3]AustralianNA2!$EV$151:$EV$244</definedName>
    <definedName name="A85231764C_Data">[3]AustralianNA2!$EV$151:$EV$244</definedName>
    <definedName name="A85231764C_Latest">[3]AustralianNA2!$EV$244</definedName>
    <definedName name="A85231765F">[3]AustralianNA2!$EW$1:$EW$10,[3]AustralianNA2!$EW$151:$EW$244</definedName>
    <definedName name="A85231765F_Data">[3]AustralianNA2!$EW$151:$EW$244</definedName>
    <definedName name="A85231765F_Latest">[3]AustralianNA2!$EW$244</definedName>
    <definedName name="A85231766J">[3]AustralianNA2!$HZ$1:$HZ$10,[3]AustralianNA2!$HZ$119:$HZ$244</definedName>
    <definedName name="A85231766J_Data">[3]AustralianNA2!$HZ$119:$HZ$244</definedName>
    <definedName name="A85231766J_Latest">[3]AustralianNA2!$HZ$244</definedName>
    <definedName name="A85231767K">[3]AustralianNA2!$IF$1:$IF$10,[3]AustralianNA2!$IF$151:$IF$244</definedName>
    <definedName name="A85231767K_Data">[3]AustralianNA2!$IF$151:$IF$244</definedName>
    <definedName name="A85231767K_Latest">[3]AustralianNA2!$IF$244</definedName>
    <definedName name="A85231768L">[3]AustralianNA2!$IG$1:$IG$10,[3]AustralianNA2!$IG$151:$IG$244</definedName>
    <definedName name="A85231768L_Data">[3]AustralianNA2!$IG$151:$IG$244</definedName>
    <definedName name="A85231768L_Latest">[3]AustralianNA2!$IG$244</definedName>
    <definedName name="A85231769R">[3]AustralianNA2!$IH$1:$IH$10,[3]AustralianNA2!$IH$151:$IH$244</definedName>
    <definedName name="A85231769R_Data">[3]AustralianNA2!$IH$151:$IH$244</definedName>
    <definedName name="A85231769R_Latest">[3]AustralianNA2!$IH$244</definedName>
    <definedName name="A85231770X">[3]AustralianNA3!$B$1:$B$10,[3]AustralianNA3!$B$151:$B$244</definedName>
    <definedName name="A85231770X_Data">[3]AustralianNA3!$B$151:$B$244</definedName>
    <definedName name="A85231770X_Latest">[3]AustralianNA3!$B$244</definedName>
    <definedName name="A85231771A">[3]AustralianNA3!$C$1:$C$10,[3]AustralianNA3!$C$151:$C$244</definedName>
    <definedName name="A85231771A_Data">[3]AustralianNA3!$C$151:$C$244</definedName>
    <definedName name="A85231771A_Latest">[3]AustralianNA3!$C$244</definedName>
    <definedName name="A85231772C">[3]AustralianNA3!$E$1:$E$10,[3]AustralianNA3!$E$151:$E$244</definedName>
    <definedName name="A85231772C_Data">[3]AustralianNA3!$E$151:$E$244</definedName>
    <definedName name="A85231772C_Latest">[3]AustralianNA3!$E$244</definedName>
    <definedName name="A85231777R">[3]AustralianNA3!$L$1:$L$10,[3]AustralianNA3!$L$151:$L$244</definedName>
    <definedName name="A85231777R_Data">[3]AustralianNA3!$L$151:$L$244</definedName>
    <definedName name="codes">'[4]1.Unilteral scenario'!$Q$1:$R$244</definedName>
    <definedName name="column_head">#REF!</definedName>
    <definedName name="column_headings">#REF!</definedName>
    <definedName name="column_numbers">#REF!</definedName>
    <definedName name="d">#REF!</definedName>
    <definedName name="data">#REF!</definedName>
    <definedName name="data2">#REF!</definedName>
    <definedName name="ddddd">[2]Регион!#REF!</definedName>
    <definedName name="Diag">#REF!,#REF!</definedName>
    <definedName name="e">#REF!</definedName>
    <definedName name="ea_flux">#REF!</definedName>
    <definedName name="Equilibre">#REF!</definedName>
    <definedName name="f">#REF!</definedName>
    <definedName name="females">'[5]rba table'!$I$10:$I$49</definedName>
    <definedName name="fig4b">#REF!</definedName>
    <definedName name="fmtr">#REF!</definedName>
    <definedName name="footno">#REF!</definedName>
    <definedName name="footnotes">#REF!</definedName>
    <definedName name="footnotes2">#REF!</definedName>
    <definedName name="GEOG9703">#REF!</definedName>
    <definedName name="gg">#REF!</definedName>
    <definedName name="head">#REF!</definedName>
    <definedName name="HTML_CodePage" hidden="1">1252</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'[5]rba table'!$C$10:$C$49</definedName>
    <definedName name="name">#REF!</definedName>
    <definedName name="name2">#REF!</definedName>
    <definedName name="name3">#REF!</definedName>
    <definedName name="name4">#REF!</definedName>
    <definedName name="nb">#REF!</definedName>
    <definedName name="PIB">#REF!</definedName>
    <definedName name="Rentflag">IF([6]Comparison!$B$7,"","not ")</definedName>
    <definedName name="ressources">#REF!</definedName>
    <definedName name="rpflux">#REF!</definedName>
    <definedName name="rptof">#REF!</definedName>
    <definedName name="rq">#REF!</definedName>
    <definedName name="spanners_level1">#REF!</definedName>
    <definedName name="spanners_level2">#REF!</definedName>
    <definedName name="spanners_level3">#REF!</definedName>
    <definedName name="spanners_level4">#REF!</definedName>
    <definedName name="spanners_level5">#REF!</definedName>
    <definedName name="spanners_levelV">#REF!</definedName>
    <definedName name="spanners_levelX">#REF!</definedName>
    <definedName name="spanners_levelY">#REF!</definedName>
    <definedName name="spanners_levelZ">#REF!</definedName>
    <definedName name="stub_lines">#REF!</definedName>
    <definedName name="Table_DE.4b__Sources_of_private_wealth_accumulation_in_Germany__1870_2010___Multiplicative_decomposition">[7]TableDE4b!$A$3</definedName>
    <definedName name="tableJEL">#REF!</definedName>
    <definedName name="temp">#REF!</definedName>
    <definedName name="test">[1]Регион!#REF!</definedName>
    <definedName name="titles">#REF!</definedName>
    <definedName name="totals">#REF!</definedName>
    <definedName name="tt">#REF!</definedName>
    <definedName name="xx">#REF!</definedName>
    <definedName name="xxx">#REF!</definedName>
    <definedName name="Year">[6]Output!$C$4:$C$38</definedName>
    <definedName name="YearLabel">[6]Output!$B$15</definedName>
    <definedName name="_xlnm.Print_Area" localSheetId="0">BEL_BRA!#REF!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3" l="1"/>
  <c r="I24" i="16"/>
  <c r="H24" i="16"/>
  <c r="G24" i="16"/>
  <c r="O9" i="16"/>
  <c r="N9" i="16"/>
  <c r="M9" i="16"/>
  <c r="L9" i="16"/>
  <c r="K9" i="16"/>
  <c r="J9" i="16"/>
  <c r="C16" i="2"/>
  <c r="K17" i="20" l="1"/>
  <c r="K16" i="20"/>
  <c r="K15" i="20"/>
  <c r="K14" i="20"/>
  <c r="K13" i="20"/>
  <c r="K12" i="20"/>
  <c r="K11" i="20"/>
  <c r="K10" i="20"/>
  <c r="K9" i="20"/>
  <c r="K8" i="20"/>
  <c r="K7" i="20"/>
  <c r="K6" i="20"/>
  <c r="K5" i="20"/>
  <c r="K4" i="20"/>
  <c r="J17" i="20"/>
  <c r="J16" i="20"/>
  <c r="J15" i="20"/>
  <c r="J14" i="20"/>
  <c r="J13" i="20"/>
  <c r="J12" i="20"/>
  <c r="J11" i="20"/>
  <c r="J10" i="20"/>
  <c r="J9" i="20"/>
  <c r="J8" i="20"/>
  <c r="J7" i="20"/>
  <c r="J6" i="20"/>
  <c r="J5" i="20"/>
  <c r="J4" i="20"/>
  <c r="I17" i="20"/>
  <c r="I16" i="20"/>
  <c r="I15" i="20"/>
  <c r="I14" i="20"/>
  <c r="I13" i="20"/>
  <c r="I12" i="20"/>
  <c r="I11" i="20"/>
  <c r="I10" i="20"/>
  <c r="I9" i="20"/>
  <c r="I8" i="20"/>
  <c r="I7" i="20"/>
  <c r="I6" i="20"/>
  <c r="I5" i="20"/>
  <c r="I4" i="20"/>
  <c r="J14" i="21"/>
  <c r="J13" i="21"/>
  <c r="I14" i="21"/>
  <c r="I13" i="21"/>
  <c r="H14" i="21"/>
  <c r="H13" i="21"/>
  <c r="G14" i="21"/>
  <c r="G13" i="21"/>
  <c r="J12" i="21"/>
  <c r="J11" i="21"/>
  <c r="I12" i="21"/>
  <c r="I11" i="21"/>
  <c r="H12" i="21"/>
  <c r="H11" i="21"/>
  <c r="G12" i="21"/>
  <c r="G11" i="21"/>
  <c r="J10" i="21"/>
  <c r="J9" i="21"/>
  <c r="I10" i="21"/>
  <c r="I9" i="21"/>
  <c r="H10" i="21"/>
  <c r="H9" i="21"/>
  <c r="G10" i="21"/>
  <c r="G9" i="21"/>
  <c r="J8" i="21"/>
  <c r="J7" i="21"/>
  <c r="I8" i="21"/>
  <c r="I7" i="21"/>
  <c r="H8" i="21"/>
  <c r="H7" i="21"/>
  <c r="G8" i="21"/>
  <c r="G7" i="21"/>
  <c r="J6" i="21"/>
  <c r="J5" i="21"/>
  <c r="I6" i="21"/>
  <c r="I5" i="21"/>
  <c r="H6" i="21"/>
  <c r="H5" i="21"/>
  <c r="G6" i="21"/>
  <c r="G5" i="21"/>
  <c r="J4" i="21"/>
  <c r="J3" i="21"/>
  <c r="I4" i="21"/>
  <c r="I3" i="21"/>
  <c r="H4" i="21"/>
  <c r="H3" i="21"/>
  <c r="G4" i="21"/>
  <c r="G3" i="21"/>
  <c r="D22" i="8" l="1"/>
  <c r="D21" i="8"/>
  <c r="D20" i="8"/>
  <c r="D19" i="8"/>
  <c r="D18" i="8"/>
  <c r="C8" i="13"/>
  <c r="C7" i="13"/>
  <c r="C6" i="13"/>
  <c r="C5" i="13"/>
  <c r="C4" i="13"/>
  <c r="C3" i="13"/>
  <c r="C2" i="13"/>
  <c r="D10" i="11"/>
  <c r="D9" i="11"/>
  <c r="D8" i="11"/>
  <c r="D7" i="11"/>
  <c r="D6" i="11"/>
  <c r="D5" i="11"/>
  <c r="D7" i="6"/>
  <c r="D6" i="6"/>
  <c r="D5" i="6"/>
  <c r="D4" i="6"/>
  <c r="D3" i="6"/>
  <c r="D2" i="6"/>
  <c r="C21" i="6"/>
  <c r="C20" i="6"/>
  <c r="C19" i="6"/>
  <c r="C18" i="6"/>
  <c r="C17" i="6"/>
  <c r="C7" i="15"/>
  <c r="C6" i="15"/>
  <c r="C5" i="15"/>
  <c r="C4" i="15"/>
  <c r="C3" i="15"/>
  <c r="C2" i="15"/>
  <c r="C4" i="2"/>
  <c r="C3" i="2"/>
  <c r="C2" i="2"/>
  <c r="I19" i="16"/>
  <c r="H19" i="16"/>
  <c r="G19" i="16"/>
  <c r="I20" i="16"/>
  <c r="H20" i="16"/>
  <c r="G20" i="16"/>
  <c r="I21" i="16"/>
  <c r="H21" i="16"/>
  <c r="G21" i="16"/>
  <c r="I22" i="16"/>
  <c r="H22" i="16"/>
  <c r="G22" i="16"/>
  <c r="M7" i="16"/>
  <c r="M6" i="16"/>
  <c r="M5" i="16"/>
  <c r="J5" i="16"/>
  <c r="J6" i="16"/>
  <c r="J7" i="16"/>
  <c r="Q20" i="5"/>
  <c r="Q19" i="5"/>
  <c r="Q18" i="5"/>
  <c r="P20" i="5"/>
  <c r="P19" i="5"/>
  <c r="P18" i="5"/>
  <c r="O21" i="5"/>
  <c r="O20" i="5"/>
  <c r="O19" i="5"/>
  <c r="O18" i="5"/>
  <c r="N20" i="5"/>
  <c r="N19" i="5"/>
  <c r="N18" i="5"/>
  <c r="M20" i="5"/>
  <c r="M19" i="5"/>
  <c r="M18" i="5"/>
  <c r="L20" i="5"/>
  <c r="L19" i="5"/>
  <c r="L18" i="5"/>
  <c r="K20" i="5"/>
  <c r="K19" i="5"/>
  <c r="K18" i="5"/>
  <c r="Q8" i="5"/>
  <c r="Q7" i="5"/>
  <c r="Q6" i="5"/>
  <c r="P8" i="5"/>
  <c r="P7" i="5"/>
  <c r="P6" i="5"/>
  <c r="O8" i="5"/>
  <c r="O7" i="5"/>
  <c r="O6" i="5"/>
  <c r="N8" i="5"/>
  <c r="N7" i="5"/>
  <c r="N6" i="5"/>
  <c r="M8" i="5"/>
  <c r="M7" i="5"/>
  <c r="M6" i="5"/>
  <c r="L8" i="5"/>
  <c r="L7" i="5"/>
  <c r="L6" i="5"/>
  <c r="K8" i="5"/>
  <c r="K7" i="5"/>
  <c r="K6" i="5"/>
  <c r="E22" i="13" l="1"/>
  <c r="D22" i="13"/>
  <c r="I23" i="16"/>
  <c r="H23" i="16"/>
  <c r="G23" i="16"/>
  <c r="O8" i="16"/>
  <c r="N8" i="16"/>
  <c r="M8" i="16"/>
  <c r="L8" i="16"/>
  <c r="K8" i="16"/>
  <c r="J8" i="16"/>
  <c r="Q5" i="8" l="1"/>
  <c r="Q4" i="8"/>
  <c r="P5" i="8"/>
  <c r="P4" i="8"/>
  <c r="O5" i="8"/>
  <c r="O4" i="8"/>
  <c r="N5" i="8"/>
  <c r="N4" i="8"/>
  <c r="M5" i="8"/>
  <c r="M4" i="8"/>
  <c r="L5" i="8"/>
  <c r="L4" i="8"/>
  <c r="Q11" i="5"/>
  <c r="Q10" i="5"/>
  <c r="Q9" i="5"/>
  <c r="P11" i="5"/>
  <c r="P10" i="5"/>
  <c r="P9" i="5"/>
  <c r="O11" i="5"/>
  <c r="O10" i="5"/>
  <c r="O9" i="5"/>
  <c r="N11" i="5"/>
  <c r="N10" i="5"/>
  <c r="N9" i="5"/>
  <c r="M11" i="5"/>
  <c r="M10" i="5"/>
  <c r="M9" i="5"/>
  <c r="L11" i="5"/>
  <c r="L10" i="5"/>
  <c r="L9" i="5"/>
  <c r="K11" i="5"/>
  <c r="K10" i="5"/>
  <c r="K9" i="5"/>
  <c r="Q23" i="5" l="1"/>
  <c r="Q22" i="5"/>
  <c r="Q21" i="5"/>
  <c r="P23" i="5"/>
  <c r="P22" i="5"/>
  <c r="P21" i="5"/>
  <c r="O23" i="5"/>
  <c r="O22" i="5"/>
  <c r="N23" i="5"/>
  <c r="N22" i="5"/>
  <c r="N21" i="5"/>
  <c r="M23" i="5"/>
  <c r="M22" i="5"/>
  <c r="M21" i="5"/>
  <c r="L23" i="5"/>
  <c r="L22" i="5"/>
  <c r="L21" i="5"/>
  <c r="K23" i="5"/>
  <c r="K22" i="5"/>
  <c r="K21" i="5"/>
  <c r="F22" i="15"/>
  <c r="C18" i="5" l="1"/>
  <c r="C21" i="5"/>
  <c r="C9" i="5"/>
  <c r="C6" i="5"/>
</calcChain>
</file>

<file path=xl/sharedStrings.xml><?xml version="1.0" encoding="utf-8"?>
<sst xmlns="http://schemas.openxmlformats.org/spreadsheetml/2006/main" count="4699" uniqueCount="277">
  <si>
    <t>Year</t>
  </si>
  <si>
    <t>Number of accounts</t>
  </si>
  <si>
    <t>Legal entities</t>
  </si>
  <si>
    <t>Controlling persons</t>
  </si>
  <si>
    <t>Account owners</t>
  </si>
  <si>
    <t>Individuals</t>
  </si>
  <si>
    <t>Automatic Identification</t>
  </si>
  <si>
    <t>24-30%</t>
  </si>
  <si>
    <t>All CRS</t>
  </si>
  <si>
    <t>Sample</t>
  </si>
  <si>
    <t>Information provided by the General Financial Directorate pursuant to the Act on Free Access to Information 62/2022.</t>
  </si>
  <si>
    <t>Total</t>
  </si>
  <si>
    <t>CRS101</t>
  </si>
  <si>
    <t>CRS102</t>
  </si>
  <si>
    <t>CRS103</t>
  </si>
  <si>
    <t>Entities</t>
  </si>
  <si>
    <t>OFCs</t>
  </si>
  <si>
    <t xml:space="preserve"> with B.O. (CRS801, CRS807, CRS812)</t>
  </si>
  <si>
    <t>Non OFCs</t>
  </si>
  <si>
    <t>All CRS*</t>
  </si>
  <si>
    <t>Number of records</t>
  </si>
  <si>
    <t>Number of account owners</t>
  </si>
  <si>
    <t>CRS801</t>
  </si>
  <si>
    <t>CRS807</t>
  </si>
  <si>
    <t>CRS812</t>
  </si>
  <si>
    <t>Number of reports</t>
  </si>
  <si>
    <t>Unique account holders</t>
  </si>
  <si>
    <t>NA</t>
  </si>
  <si>
    <t>Number of countries/regions</t>
  </si>
  <si>
    <t>Information not utilized even after manual identification</t>
  </si>
  <si>
    <t>Natural persons</t>
  </si>
  <si>
    <t>received</t>
  </si>
  <si>
    <t>provided</t>
  </si>
  <si>
    <t>Online publication. Cour des Comptes (2020). Échange automatique de données fiscales au niveau international. Rapport de la cour des comptes transmis à la chambre des représentants, bruxelles, novembre 2020. Available at: https://www.ccrek.be/fr/publication/echange-automatique-de-donnees-fiscales-au-niveau .</t>
  </si>
  <si>
    <t>OECD. Assessing Tax Compliance and Illicit Financial Flows in South Africa, OECD Publishing, Paris, 2022. Available at: https://doi.org/10.1787/e8c9ff5b-en .</t>
  </si>
  <si>
    <t>South Africa</t>
  </si>
  <si>
    <t>Norway</t>
  </si>
  <si>
    <t>Hungary</t>
  </si>
  <si>
    <t>The number of accounts presented may include duplicate financial accounts for shared account holders. The same applies to the aggregate financial values, where duplicate values may be included in the aggregate values given. For 2018 and 2019 exchanges, the number of accounts, financial balances, and payment values presented are based on all original incoming CRS reports. They do not take into account amended financial data or report deletions. For 2020 and later exchanges, the number of accounts, financial balances, and payment values presented take into account amendments and cancellations.</t>
  </si>
  <si>
    <t>Notes:</t>
  </si>
  <si>
    <t>Slovenian Ministry of Finance (2024), Financial Administration of the Republic of Slovenia, General Financial Office, Tax Department, Division for International Taxation and Exchange of Information. (upon request), 4 July 2024 and 1 Aug 2024.</t>
  </si>
  <si>
    <t>Matching rate</t>
  </si>
  <si>
    <t>Source:</t>
  </si>
  <si>
    <t>Secretariat of the Federal Revenue of Brazil (upon request). 24 March 2025.</t>
  </si>
  <si>
    <t>Canada Revenue Agency (upon request). 4 Dec 2024.</t>
  </si>
  <si>
    <t>International Information Exchange Unit, Intelligence Department, Estonian Tax and Customs Board (upon request), 26 Jan 2023.</t>
  </si>
  <si>
    <t>Ministerio de Hacienda (upon request), 25 Sep 2024.</t>
  </si>
  <si>
    <t>Asterisk indicates authors' calculations. The list of Offshore Financial Centers (OFCs) is: Anguilla, Antigua and Barbuda, Aruba, Bahamas, Bahrain, Barbados, Bermuda, Cayman Islands, Curaçao, Cyprus, Dominica, Gibraltar, Guernsey, Hong Kong, Isle of Man, Jersey, Liechtenstein, Luxembourg, Macao, Malta, Marshall Islands, Monaco, Montserrat, Nauru, Panama, Saint Kitts and Nevis, Seychelles, Singapore, Switzerland, Turks and Caicos Islands, Vanuatu, British Virgin Islands.</t>
  </si>
  <si>
    <t>HM Revenue &amp; Customs (via Freedom of Information Request), 12 Aug 2024.</t>
  </si>
  <si>
    <t>NTCA Press Releases (upon request), 4 Oct 2022.</t>
  </si>
  <si>
    <t>Online publications. National Tax Agency. Summary of information exchange under tax treaties. Available at: https://www.nta.go.jp/information/release/ , accessed 10 March 2025.</t>
  </si>
  <si>
    <t>Polish Ministry of Finance / Ministerstwo Finansów (via Freedom of Information Request), 27 Jan 2023.</t>
  </si>
  <si>
    <t>The statistics cover financial accounts whose account holders we were able to identify, i.e. those account holders who have ever been issued a Slovenian tax number and are registered in the Taxpayer Register of the Republic of Slovenia. The list of Offshore Financial Centers (OFCs) is: Andorra, Anguilla, Antigua and Barbuda, Aruba, Austria, Bahamas, Bahrain, Barbados, Belgium, Belize, Bermuda, Cayman Islands, Chile, Cook Islands, Costa Rica, Curaçao, Cyprus, Dominica, Gibraltar, Grenada, Guernsey, Hong Kong, Isle of Man, Jersey, Liberia, Liechtenstein, Luxembourg, Macao, Malaysia, Malta, Marshall Islands, Monaco, Montserrat, Nauru, Panama, Saint Kitts and Nevis, Saint Lucia, Saint Vincent and the Grenadines, Samoa, San Marino, Seychelles, Singapore, Switzerland, Trinidad and Tobago, Turks and Caicos Islands, Uruguay, Vanuatu, British Virgin Islands.</t>
  </si>
  <si>
    <t>Swedish Tax Agency / Skatteverket (upon request), 17 April 2025.</t>
  </si>
  <si>
    <t>Table: Adjusted for number of account holders, assuming CRS101 wealth whenever both CRS101 and CRS103 is reported, and allocating all wealth to only beneficiary owners</t>
  </si>
  <si>
    <t>Table: Not adjusted for number of account holders</t>
  </si>
  <si>
    <t>Boas et al. (2024) and the Danish Tax Agency, 2 May 2025.</t>
  </si>
  <si>
    <t>Norwegian Tax Administration (upon request), 10 Feb 2025.</t>
  </si>
  <si>
    <t>CRS Data received as of April 25, 2024; It should be noted that the data of this reply refers to the number of records received as according to CRS some accounts may be required to be reported more than once (e.g. jointly held accounts or accounts with multiple related Controlling Persons).
The list of Offshore Financial Centers (OFCs) is: Aruba, Anguilla, Antigua and Barbuda, Bahamas, Bahrain, Barbados, Bermuda, British Virgin Islands, Cayman Islands, Curaçao, Cyprus, Dominica, Falkland Islands (Malvinas), Gibraltar, Guernsey, Hong Kong, Isle of Man, Jersey, Liechtenstein, Luxembourg, Macao, Malta, Marshall Islands, Monaco, Montserrat, Nauru, Panama, Pitcairn Islands, Saint Helena, Ascension, and Tristan da Cunha, Saint Kitts and Nevis, Seychelles, Singapore, Switzerland, Turks and Caicos Islands, and Vanuatu.</t>
  </si>
  <si>
    <t>B</t>
  </si>
  <si>
    <t>year</t>
  </si>
  <si>
    <t>xrate</t>
  </si>
  <si>
    <t>Afghanistan, Islamic Rep. of</t>
  </si>
  <si>
    <t>Albania</t>
  </si>
  <si>
    <t>Algeria</t>
  </si>
  <si>
    <t>Andorra, Principality of</t>
  </si>
  <si>
    <t>Angola</t>
  </si>
  <si>
    <t>Anguilla</t>
  </si>
  <si>
    <t>Antigua and Barbuda</t>
  </si>
  <si>
    <t>Argentina</t>
  </si>
  <si>
    <t>Armenia, Rep. of</t>
  </si>
  <si>
    <t>Aruba, Kingdom of the Netherlands</t>
  </si>
  <si>
    <t>Australia</t>
  </si>
  <si>
    <t>Azerbaijan, Rep. of</t>
  </si>
  <si>
    <t>Bahamas, The</t>
  </si>
  <si>
    <t>Bahrain, Kingdom of</t>
  </si>
  <si>
    <t>Bangladesh</t>
  </si>
  <si>
    <t>Barbados</t>
  </si>
  <si>
    <t>Belarus, Rep. of</t>
  </si>
  <si>
    <t>Belize</t>
  </si>
  <si>
    <t>Benin</t>
  </si>
  <si>
    <t>Bermuda</t>
  </si>
  <si>
    <t>Bhutan</t>
  </si>
  <si>
    <t>Bolivia</t>
  </si>
  <si>
    <t>Bosnia and Herzegovina</t>
  </si>
  <si>
    <t>Botswana</t>
  </si>
  <si>
    <t>Brazil</t>
  </si>
  <si>
    <t>Brunei Darussalam</t>
  </si>
  <si>
    <t>Bulgaria</t>
  </si>
  <si>
    <t>Burkina Faso</t>
  </si>
  <si>
    <t>Burundi</t>
  </si>
  <si>
    <t>Cabo Verde</t>
  </si>
  <si>
    <t>Cambodia</t>
  </si>
  <si>
    <t>Cameroon</t>
  </si>
  <si>
    <t>Canada</t>
  </si>
  <si>
    <t>Cayman Islands</t>
  </si>
  <si>
    <t>Central African Economic and Monetary Community</t>
  </si>
  <si>
    <t>Central African Rep.</t>
  </si>
  <si>
    <t>Chad</t>
  </si>
  <si>
    <t>Chile</t>
  </si>
  <si>
    <t>China, P.R.: Hong Kong</t>
  </si>
  <si>
    <t>China, P.R.: Macao</t>
  </si>
  <si>
    <t>China, P.R.: Mainland</t>
  </si>
  <si>
    <t>Colombia</t>
  </si>
  <si>
    <t>Comoros, Union of the</t>
  </si>
  <si>
    <t>Congo, Dem. Rep. of the</t>
  </si>
  <si>
    <t>Congo, Rep. of</t>
  </si>
  <si>
    <t>Costa Rica</t>
  </si>
  <si>
    <t>Croatia, Rep. of</t>
  </si>
  <si>
    <t>Curaçao and Sint Maarten</t>
  </si>
  <si>
    <t>Curaçao, Kingdom of the Netherlands</t>
  </si>
  <si>
    <t>Cyprus</t>
  </si>
  <si>
    <t>Czech Rep.</t>
  </si>
  <si>
    <t>Côte d'Ivoire</t>
  </si>
  <si>
    <t>Denmark</t>
  </si>
  <si>
    <t>Djibouti</t>
  </si>
  <si>
    <t>Dominica</t>
  </si>
  <si>
    <t>Dominican Rep.</t>
  </si>
  <si>
    <t>Eastern Caribbean Currency Union (ECCU)</t>
  </si>
  <si>
    <t>Ecuador</t>
  </si>
  <si>
    <t>Egypt, Arab Rep. of</t>
  </si>
  <si>
    <t>El Salvador</t>
  </si>
  <si>
    <t>Equatorial Guinea, Rep. of</t>
  </si>
  <si>
    <t>Eritrea, The State of</t>
  </si>
  <si>
    <t>Estonia, Rep. of</t>
  </si>
  <si>
    <t>Eswatini, Kingdom of</t>
  </si>
  <si>
    <t>Ethiopia, The Federal Dem. Rep. of</t>
  </si>
  <si>
    <t>Euro Area</t>
  </si>
  <si>
    <t>Faroe Islands</t>
  </si>
  <si>
    <t>Fiji, Rep. of</t>
  </si>
  <si>
    <t>French Polynesia</t>
  </si>
  <si>
    <t>Gabon</t>
  </si>
  <si>
    <t>Gambia, The</t>
  </si>
  <si>
    <t>Georgia</t>
  </si>
  <si>
    <t>Ghana</t>
  </si>
  <si>
    <t>Gibraltar</t>
  </si>
  <si>
    <t>Greenland</t>
  </si>
  <si>
    <t>Grenada</t>
  </si>
  <si>
    <t>Guatemala</t>
  </si>
  <si>
    <t>Guernsey</t>
  </si>
  <si>
    <t>Guinea</t>
  </si>
  <si>
    <t>Guinea-Bissau</t>
  </si>
  <si>
    <t>Guyana</t>
  </si>
  <si>
    <t>Haiti</t>
  </si>
  <si>
    <t>Honduras</t>
  </si>
  <si>
    <t>Iceland</t>
  </si>
  <si>
    <t>India</t>
  </si>
  <si>
    <t>Indonesia</t>
  </si>
  <si>
    <t>Iran, Islamic Rep. of</t>
  </si>
  <si>
    <t>Iraq</t>
  </si>
  <si>
    <t>Isle of Man</t>
  </si>
  <si>
    <t>Israel</t>
  </si>
  <si>
    <t>Jamaica</t>
  </si>
  <si>
    <t>Japan</t>
  </si>
  <si>
    <t>Jersey</t>
  </si>
  <si>
    <t>Jordan</t>
  </si>
  <si>
    <t>Kazakhstan, Rep. of</t>
  </si>
  <si>
    <t>Kenya</t>
  </si>
  <si>
    <t>Kiribati</t>
  </si>
  <si>
    <t>Korea, Rep. of</t>
  </si>
  <si>
    <t>Kosovo, Rep. of</t>
  </si>
  <si>
    <t>Kuwait</t>
  </si>
  <si>
    <t>Kyrgyz Rep.</t>
  </si>
  <si>
    <t>Lao People's Dem. Rep.</t>
  </si>
  <si>
    <t>Latvia</t>
  </si>
  <si>
    <t>Lebanon</t>
  </si>
  <si>
    <t>Lesotho, Kingdom of</t>
  </si>
  <si>
    <t>Liberia</t>
  </si>
  <si>
    <t>Libya</t>
  </si>
  <si>
    <t>Lithuania</t>
  </si>
  <si>
    <t>Madagascar, Rep. of</t>
  </si>
  <si>
    <t>Malawi</t>
  </si>
  <si>
    <t>Malaysia</t>
  </si>
  <si>
    <t>Maldives</t>
  </si>
  <si>
    <t>Mali</t>
  </si>
  <si>
    <t>Malta</t>
  </si>
  <si>
    <t>Mauritania, Islamic Rep. of</t>
  </si>
  <si>
    <t>Mauritius</t>
  </si>
  <si>
    <t>Mexico</t>
  </si>
  <si>
    <t>Micronesia, Federated States of</t>
  </si>
  <si>
    <t>Moldova, Rep. of</t>
  </si>
  <si>
    <t>Mongolia</t>
  </si>
  <si>
    <t>Montenegro</t>
  </si>
  <si>
    <t>Montserrat</t>
  </si>
  <si>
    <t>Morocco</t>
  </si>
  <si>
    <t>Mozambique, Rep. of</t>
  </si>
  <si>
    <t>Myanmar</t>
  </si>
  <si>
    <t>Namibia</t>
  </si>
  <si>
    <t>Nauru, Rep. of</t>
  </si>
  <si>
    <t>Nepal</t>
  </si>
  <si>
    <t>Netherlands Antilles</t>
  </si>
  <si>
    <t>New Caledonia</t>
  </si>
  <si>
    <t>New Zealand</t>
  </si>
  <si>
    <t>Nicaragua</t>
  </si>
  <si>
    <t>Niger</t>
  </si>
  <si>
    <t>Nigeria</t>
  </si>
  <si>
    <t>North Macedonia, Republic of</t>
  </si>
  <si>
    <t>Oman</t>
  </si>
  <si>
    <t>Pakistan</t>
  </si>
  <si>
    <t>Palau, Rep. of</t>
  </si>
  <si>
    <t>Panama</t>
  </si>
  <si>
    <t>Papua New Guinea</t>
  </si>
  <si>
    <t>Paraguay</t>
  </si>
  <si>
    <t>Peru</t>
  </si>
  <si>
    <t>Philippines</t>
  </si>
  <si>
    <t>Poland, Rep. of</t>
  </si>
  <si>
    <t>Qatar</t>
  </si>
  <si>
    <t>Romania</t>
  </si>
  <si>
    <t>Russian Federation</t>
  </si>
  <si>
    <t>Rwanda</t>
  </si>
  <si>
    <t>Samoa</t>
  </si>
  <si>
    <t>San Marino, Rep. of</t>
  </si>
  <si>
    <t>Saudi Arabia</t>
  </si>
  <si>
    <t>Senegal</t>
  </si>
  <si>
    <t>Serbia, Rep. of</t>
  </si>
  <si>
    <t>Seychelles</t>
  </si>
  <si>
    <t>Sierra Leone</t>
  </si>
  <si>
    <t>Singapore</t>
  </si>
  <si>
    <t>Sint Maarten, Kingdom of the Netherlands</t>
  </si>
  <si>
    <t>Slovak Rep.</t>
  </si>
  <si>
    <t>Slovenia, Rep. of</t>
  </si>
  <si>
    <t>Solomon Islands</t>
  </si>
  <si>
    <t>Somalia</t>
  </si>
  <si>
    <t>South Sudan, Rep. of</t>
  </si>
  <si>
    <t>Sri Lanka</t>
  </si>
  <si>
    <t>St. Kitts and Nevis</t>
  </si>
  <si>
    <t>St. Lucia</t>
  </si>
  <si>
    <t>St. Vincent and the Grenadines</t>
  </si>
  <si>
    <t>Sudan</t>
  </si>
  <si>
    <t>Suriname</t>
  </si>
  <si>
    <t>Sweden</t>
  </si>
  <si>
    <t>Switzerland</t>
  </si>
  <si>
    <t>Syrian Arab Rep.</t>
  </si>
  <si>
    <t>São Tomé and Príncipe, Dem. Rep. of</t>
  </si>
  <si>
    <t>Taiwan Province of China</t>
  </si>
  <si>
    <t>Tajikistan, Rep. of</t>
  </si>
  <si>
    <t>Tanzania, United Rep. of</t>
  </si>
  <si>
    <t>Thailand</t>
  </si>
  <si>
    <t>Timor-Leste, Dem. Rep. of</t>
  </si>
  <si>
    <t>Togo</t>
  </si>
  <si>
    <t>Tonga</t>
  </si>
  <si>
    <t>Trinidad and Tobago</t>
  </si>
  <si>
    <t>Tunisia</t>
  </si>
  <si>
    <t>Turkmenistan</t>
  </si>
  <si>
    <t>Türkiye, Rep of</t>
  </si>
  <si>
    <t>Uganda</t>
  </si>
  <si>
    <t>Ukraine</t>
  </si>
  <si>
    <t>United Arab Emirates</t>
  </si>
  <si>
    <t>United Kingdom</t>
  </si>
  <si>
    <t>United States</t>
  </si>
  <si>
    <t>Uruguay</t>
  </si>
  <si>
    <t>Uzbekistan, Rep. of</t>
  </si>
  <si>
    <t>Vanuatu</t>
  </si>
  <si>
    <t>Venezuela, Rep. Bolivariana de</t>
  </si>
  <si>
    <t>Vietnam</t>
  </si>
  <si>
    <t>West African Economic and Monetary Union (WAEMU)</t>
  </si>
  <si>
    <t>Yemen, Rep. of</t>
  </si>
  <si>
    <t>Zambia</t>
  </si>
  <si>
    <t>Zimbabwe</t>
  </si>
  <si>
    <t>Account balance (bn USD)</t>
  </si>
  <si>
    <t>Wealth (bn USD)</t>
  </si>
  <si>
    <t>Account balances (bn USD)</t>
  </si>
  <si>
    <t>excluding CRS101</t>
  </si>
  <si>
    <t>The list of Offshore Financial Centers (OFCs) is: Andorra, Anguilla, Antigua and Barbuda, Aruba, Austria, Bahamas, Bahrain, Barbados, Belgium, Belize, Bermuda, Cayman Islands, Chile, Cook Islands, Costa Rica, Curaçao, Cyprus, Dominica, Gibraltar, Grenada, Guernsey, Hong Kong, Isle of Man, Jersey, Liberia, Liechtenstein, Luxembourg, Macao, Malaysia, Malta, Marshall Islands, Monaco, Montserrat, Nauru, Panama, Saint Kitts and Nevis, Saint Lucia, Saint Vincent and the Grenadines, Samoa, San Marino, Seychelles, Singapore, Switzerland, Trinidad and Tobago, Turks and Caicos Islands, Uruguay, Vanuatu, British Virgin Islands.</t>
  </si>
  <si>
    <t>The list of Offshore Financial Centers (OFCs) is: Aruba, Anguilla, Antigua and Barbuda, Bahamas, Bahrain, Barbados, Bermuda, British Virgin Islands, Cayman Islands, Curaçao, Cyprus, Dominica, Falkland Islands (Malvinas), Gibraltar, Guernsey, Hong Kong, Isle of Man, Jersey, Liechtenstein, Luxembourg, Macao, Malta, Marshall Islands, Monaco, Montserrat, Nauru, Panama, Pitcairn Islands, Saint Helena, Ascension, and Tristan da Cunha, Saint Kitts and Nevis, Seychelles, Singapore, Switzerland, Turks and Caicos Islands, and Vanuatu.</t>
  </si>
  <si>
    <r>
      <t xml:space="preserve">Number of controlling persons 
with B.O. </t>
    </r>
    <r>
      <rPr>
        <b/>
        <sz val="10"/>
        <color theme="1"/>
        <rFont val="Calibri"/>
        <family val="2"/>
        <scheme val="minor"/>
      </rPr>
      <t>(CRS801, CRS807, CRS812)</t>
    </r>
  </si>
  <si>
    <t>No tax identification number</t>
  </si>
  <si>
    <t>German Ministry of Finance (through research application procedure with the Ministry of Finance's empirical tax research network), 12 March 2025.</t>
  </si>
  <si>
    <t>Reported as of December 2018.</t>
  </si>
  <si>
    <t xml:space="preserve">(BRA) Brazil        </t>
  </si>
  <si>
    <t>(CZE) Czechia</t>
  </si>
  <si>
    <r>
      <t xml:space="preserve">    </t>
    </r>
    <r>
      <rPr>
        <b/>
        <sz val="18"/>
        <color theme="1"/>
        <rFont val="Calibri"/>
        <family val="2"/>
        <scheme val="minor"/>
      </rPr>
      <t>(EST) Estonia</t>
    </r>
  </si>
  <si>
    <t>(HUN) Hungary</t>
  </si>
  <si>
    <t>(NOR) Norway</t>
  </si>
  <si>
    <t>(ZAF) South Africa</t>
  </si>
  <si>
    <t>Annual, National Currency per U.S. Dollar, end of period</t>
  </si>
  <si>
    <t>IMF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</si>
</sst>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0"/>
    <numFmt numFmtId="166" formatCode="#,##0.0"/>
    <numFmt numFmtId="167" formatCode="0.000"/>
    <numFmt numFmtId="168" formatCode="#,##0.0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9"/>
      <color theme="1"/>
      <name val="Calibri"/>
      <family val="2"/>
      <scheme val="minor"/>
    </font>
    <font>
      <sz val="11"/>
      <color rgb="FF242424"/>
      <name val="Calibri"/>
      <family val="2"/>
    </font>
    <font>
      <sz val="11"/>
      <name val="Calibri"/>
      <family val="2"/>
      <scheme val="minor"/>
    </font>
    <font>
      <b/>
      <sz val="11"/>
      <name val="Calibri"/>
      <family val="2"/>
      <scheme val="minor"/>
    </font>
    <font>
      <b/>
      <sz val="18"/>
      <color theme="1"/>
      <name val="Calibri"/>
      <family val="2"/>
      <scheme val="minor"/>
    </font>
    <font>
      <sz val="12"/>
      <color theme="1"/>
      <name val="Calibri"/>
      <family val="2"/>
      <scheme val="minor"/>
    </font>
    <font>
      <b/>
      <sz val="10"/>
      <color theme="1"/>
      <name val="Calibri"/>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9">
    <xf numFmtId="0" fontId="0" fillId="0" borderId="0"/>
    <xf numFmtId="0" fontId="2" fillId="0" borderId="0" applyNumberForma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3" fillId="0" borderId="0"/>
    <xf numFmtId="164" fontId="3" fillId="0" borderId="0" applyFont="0" applyFill="0" applyBorder="0" applyAlignment="0" applyProtection="0"/>
    <xf numFmtId="0" fontId="9" fillId="0" borderId="0"/>
  </cellStyleXfs>
  <cellXfs count="206">
    <xf numFmtId="0" fontId="0" fillId="0" borderId="0" xfId="0"/>
    <xf numFmtId="0" fontId="0" fillId="0" borderId="0" xfId="0" applyAlignment="1">
      <alignment vertical="top"/>
    </xf>
    <xf numFmtId="9" fontId="0" fillId="0" borderId="0" xfId="0" applyNumberFormat="1"/>
    <xf numFmtId="1" fontId="0" fillId="0" borderId="0" xfId="0" applyNumberFormat="1"/>
    <xf numFmtId="0" fontId="0" fillId="0" borderId="0" xfId="0" applyAlignment="1">
      <alignment horizontal="center"/>
    </xf>
    <xf numFmtId="0" fontId="0" fillId="0" borderId="0" xfId="0" applyAlignment="1">
      <alignment vertical="top" wrapText="1"/>
    </xf>
    <xf numFmtId="0" fontId="0" fillId="0" borderId="0" xfId="0" applyAlignment="1">
      <alignment vertical="center"/>
    </xf>
    <xf numFmtId="2" fontId="0" fillId="0" borderId="0" xfId="0" applyNumberFormat="1"/>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top"/>
    </xf>
    <xf numFmtId="0" fontId="5" fillId="0" borderId="0" xfId="0" applyFont="1" applyAlignment="1">
      <alignment vertical="center"/>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12" xfId="0" applyBorder="1"/>
    <xf numFmtId="0" fontId="1" fillId="0" borderId="12" xfId="0" applyFont="1" applyBorder="1" applyAlignment="1">
      <alignment horizontal="center" vertical="top" wrapText="1"/>
    </xf>
    <xf numFmtId="9" fontId="0" fillId="0" borderId="12" xfId="0" applyNumberFormat="1" applyBorder="1" applyAlignment="1">
      <alignment horizontal="center"/>
    </xf>
    <xf numFmtId="0" fontId="0" fillId="0" borderId="12" xfId="0" applyBorder="1" applyAlignment="1">
      <alignment horizontal="center"/>
    </xf>
    <xf numFmtId="0" fontId="0" fillId="0" borderId="12" xfId="0" applyBorder="1" applyAlignment="1">
      <alignment horizontal="center" vertical="top"/>
    </xf>
    <xf numFmtId="0" fontId="1" fillId="0" borderId="12" xfId="0" applyFont="1" applyBorder="1" applyAlignment="1">
      <alignment horizontal="center" vertical="top"/>
    </xf>
    <xf numFmtId="165" fontId="0" fillId="0" borderId="12" xfId="0" applyNumberFormat="1" applyBorder="1" applyAlignment="1">
      <alignment horizontal="center" vertical="top"/>
    </xf>
    <xf numFmtId="3" fontId="0" fillId="0" borderId="12" xfId="0" applyNumberFormat="1" applyBorder="1" applyAlignment="1">
      <alignment horizontal="center"/>
    </xf>
    <xf numFmtId="0" fontId="0" fillId="0" borderId="9" xfId="0" applyBorder="1" applyAlignment="1">
      <alignment horizontal="center" vertical="top" wrapText="1"/>
    </xf>
    <xf numFmtId="0" fontId="0" fillId="0" borderId="11" xfId="0" applyBorder="1" applyAlignment="1">
      <alignment horizontal="center" vertical="top" wrapText="1"/>
    </xf>
    <xf numFmtId="0" fontId="0" fillId="0" borderId="2" xfId="0" applyBorder="1" applyAlignment="1">
      <alignment horizontal="center" vertical="top"/>
    </xf>
    <xf numFmtId="3" fontId="0" fillId="0" borderId="7" xfId="0" applyNumberFormat="1" applyBorder="1" applyAlignment="1">
      <alignment horizontal="center" vertical="top"/>
    </xf>
    <xf numFmtId="166" fontId="0" fillId="0" borderId="8" xfId="0" applyNumberFormat="1" applyBorder="1" applyAlignment="1">
      <alignment horizontal="center" vertical="top"/>
    </xf>
    <xf numFmtId="0" fontId="0" fillId="0" borderId="3" xfId="0" applyBorder="1" applyAlignment="1">
      <alignment horizontal="center" vertical="top"/>
    </xf>
    <xf numFmtId="3" fontId="0" fillId="0" borderId="9" xfId="0" applyNumberFormat="1" applyBorder="1" applyAlignment="1">
      <alignment horizontal="center" vertical="top"/>
    </xf>
    <xf numFmtId="3" fontId="0" fillId="0" borderId="12" xfId="0" applyNumberFormat="1" applyBorder="1" applyAlignment="1">
      <alignment horizontal="center" vertical="top"/>
    </xf>
    <xf numFmtId="1" fontId="0" fillId="0" borderId="0" xfId="0" applyNumberFormat="1" applyAlignment="1">
      <alignment horizontal="center" vertical="top"/>
    </xf>
    <xf numFmtId="1" fontId="0" fillId="0" borderId="8" xfId="0" applyNumberFormat="1" applyBorder="1" applyAlignment="1">
      <alignment horizontal="center" vertical="top"/>
    </xf>
    <xf numFmtId="1" fontId="0" fillId="0" borderId="10" xfId="0" applyNumberFormat="1" applyBorder="1" applyAlignment="1">
      <alignment horizontal="center" vertical="top"/>
    </xf>
    <xf numFmtId="1" fontId="0" fillId="0" borderId="11" xfId="0" applyNumberFormat="1" applyBorder="1" applyAlignment="1">
      <alignment horizontal="center" vertical="top"/>
    </xf>
    <xf numFmtId="165" fontId="0" fillId="0" borderId="0" xfId="0" applyNumberFormat="1" applyAlignment="1">
      <alignment horizontal="center" vertical="top"/>
    </xf>
    <xf numFmtId="3" fontId="0" fillId="0" borderId="0" xfId="0" applyNumberFormat="1" applyAlignment="1">
      <alignment horizontal="center" vertical="top"/>
    </xf>
    <xf numFmtId="3" fontId="0" fillId="0" borderId="8" xfId="0" applyNumberFormat="1" applyBorder="1" applyAlignment="1">
      <alignment horizontal="center" vertical="top"/>
    </xf>
    <xf numFmtId="3" fontId="0" fillId="0" borderId="10" xfId="0" applyNumberFormat="1" applyBorder="1" applyAlignment="1">
      <alignment horizontal="center" vertical="top"/>
    </xf>
    <xf numFmtId="3" fontId="0" fillId="0" borderId="11" xfId="0" applyNumberFormat="1" applyBorder="1" applyAlignment="1">
      <alignment horizontal="center" vertical="top"/>
    </xf>
    <xf numFmtId="0" fontId="0" fillId="0" borderId="10" xfId="0" applyBorder="1" applyAlignment="1">
      <alignment horizontal="center" vertical="top" wrapText="1"/>
    </xf>
    <xf numFmtId="0" fontId="0" fillId="0" borderId="4" xfId="0" applyBorder="1" applyAlignment="1">
      <alignment horizontal="center" vertical="top"/>
    </xf>
    <xf numFmtId="0" fontId="0" fillId="0" borderId="7" xfId="0" applyBorder="1" applyAlignment="1">
      <alignment horizontal="center" vertical="top"/>
    </xf>
    <xf numFmtId="0" fontId="0" fillId="0" borderId="9" xfId="0" applyBorder="1" applyAlignment="1">
      <alignment horizontal="center" vertical="top"/>
    </xf>
    <xf numFmtId="3" fontId="0" fillId="0" borderId="4" xfId="0" applyNumberFormat="1" applyBorder="1" applyAlignment="1">
      <alignment horizontal="center" vertical="top"/>
    </xf>
    <xf numFmtId="3" fontId="0" fillId="0" borderId="5" xfId="0" applyNumberFormat="1" applyBorder="1" applyAlignment="1">
      <alignment horizontal="center" vertical="top"/>
    </xf>
    <xf numFmtId="3" fontId="0" fillId="0" borderId="6" xfId="0" applyNumberFormat="1" applyBorder="1" applyAlignment="1">
      <alignment horizontal="center" vertical="top"/>
    </xf>
    <xf numFmtId="10" fontId="0" fillId="0" borderId="0" xfId="2" applyNumberFormat="1" applyFont="1" applyBorder="1" applyAlignment="1">
      <alignment horizontal="center" vertical="top"/>
    </xf>
    <xf numFmtId="1" fontId="0" fillId="0" borderId="0" xfId="4" applyNumberFormat="1" applyFont="1" applyAlignment="1">
      <alignment horizontal="center" vertical="top"/>
    </xf>
    <xf numFmtId="1" fontId="3" fillId="0" borderId="0" xfId="4" applyNumberFormat="1" applyAlignment="1">
      <alignment horizontal="center" vertical="top"/>
    </xf>
    <xf numFmtId="0" fontId="0" fillId="0" borderId="0" xfId="0" applyAlignment="1">
      <alignment horizontal="left" vertical="top"/>
    </xf>
    <xf numFmtId="3" fontId="0" fillId="0" borderId="2" xfId="0" applyNumberFormat="1" applyBorder="1" applyAlignment="1">
      <alignment horizontal="center" vertical="top"/>
    </xf>
    <xf numFmtId="3" fontId="0" fillId="0" borderId="3" xfId="0" applyNumberFormat="1" applyBorder="1" applyAlignment="1">
      <alignment horizontal="center" vertical="top"/>
    </xf>
    <xf numFmtId="0" fontId="0" fillId="0" borderId="1" xfId="0" applyBorder="1" applyAlignment="1">
      <alignment horizontal="center" vertical="top"/>
    </xf>
    <xf numFmtId="3" fontId="0" fillId="0" borderId="1" xfId="0" applyNumberFormat="1" applyBorder="1" applyAlignment="1">
      <alignment horizontal="center" vertical="top"/>
    </xf>
    <xf numFmtId="0" fontId="0" fillId="0" borderId="5" xfId="0" applyBorder="1" applyAlignment="1">
      <alignment horizontal="center" vertical="top"/>
    </xf>
    <xf numFmtId="1" fontId="0" fillId="0" borderId="5" xfId="0" applyNumberFormat="1" applyBorder="1" applyAlignment="1">
      <alignment horizontal="center" vertical="top"/>
    </xf>
    <xf numFmtId="1" fontId="0" fillId="0" borderId="6" xfId="0" applyNumberFormat="1" applyBorder="1" applyAlignment="1">
      <alignment horizontal="center" vertical="top"/>
    </xf>
    <xf numFmtId="0" fontId="4" fillId="0" borderId="10" xfId="0" applyFont="1" applyBorder="1" applyAlignment="1">
      <alignment horizontal="center" vertical="top" wrapText="1"/>
    </xf>
    <xf numFmtId="0" fontId="1" fillId="0" borderId="1" xfId="0" applyFont="1" applyBorder="1" applyAlignment="1">
      <alignment horizontal="center" vertical="top" wrapText="1"/>
    </xf>
    <xf numFmtId="9" fontId="0" fillId="0" borderId="4" xfId="2" applyFont="1" applyBorder="1" applyAlignment="1">
      <alignment horizontal="center" vertical="top"/>
    </xf>
    <xf numFmtId="9" fontId="0" fillId="0" borderId="6" xfId="2" applyFont="1" applyBorder="1" applyAlignment="1">
      <alignment horizontal="center" vertical="top"/>
    </xf>
    <xf numFmtId="9" fontId="0" fillId="0" borderId="7" xfId="2" applyFont="1" applyBorder="1" applyAlignment="1">
      <alignment horizontal="center" vertical="top"/>
    </xf>
    <xf numFmtId="9" fontId="0" fillId="0" borderId="8" xfId="2" applyFont="1" applyBorder="1" applyAlignment="1">
      <alignment horizontal="center" vertical="top"/>
    </xf>
    <xf numFmtId="9" fontId="0" fillId="0" borderId="9" xfId="2" applyFont="1" applyBorder="1" applyAlignment="1">
      <alignment horizontal="center" vertical="top"/>
    </xf>
    <xf numFmtId="9" fontId="0" fillId="0" borderId="11" xfId="2" applyFont="1" applyBorder="1" applyAlignment="1">
      <alignment horizontal="center" vertical="top"/>
    </xf>
    <xf numFmtId="0" fontId="0" fillId="0" borderId="6" xfId="0" applyBorder="1" applyAlignment="1">
      <alignment horizontal="center" vertical="top"/>
    </xf>
    <xf numFmtId="1" fontId="0" fillId="0" borderId="12" xfId="0" applyNumberFormat="1" applyBorder="1" applyAlignment="1">
      <alignment horizontal="center" vertical="top"/>
    </xf>
    <xf numFmtId="0" fontId="1" fillId="0" borderId="13" xfId="0" applyFont="1" applyBorder="1" applyAlignment="1">
      <alignment horizontal="center" vertical="top" wrapText="1"/>
    </xf>
    <xf numFmtId="1" fontId="0" fillId="0" borderId="1" xfId="0" applyNumberFormat="1" applyBorder="1" applyAlignment="1">
      <alignment horizontal="center" vertical="top"/>
    </xf>
    <xf numFmtId="1" fontId="0" fillId="0" borderId="2" xfId="0" applyNumberFormat="1" applyBorder="1" applyAlignment="1">
      <alignment horizontal="center" vertical="top"/>
    </xf>
    <xf numFmtId="1" fontId="0" fillId="0" borderId="3" xfId="0" applyNumberFormat="1" applyBorder="1" applyAlignment="1">
      <alignment horizontal="center" vertical="top"/>
    </xf>
    <xf numFmtId="167" fontId="0" fillId="0" borderId="12" xfId="0" applyNumberFormat="1" applyBorder="1" applyAlignment="1">
      <alignment horizontal="center" vertical="top"/>
    </xf>
    <xf numFmtId="9" fontId="0" fillId="0" borderId="2" xfId="2" applyFont="1" applyBorder="1" applyAlignment="1">
      <alignment horizontal="center" vertical="top"/>
    </xf>
    <xf numFmtId="9" fontId="0" fillId="0" borderId="3" xfId="2" applyFont="1" applyBorder="1" applyAlignment="1">
      <alignment horizontal="center" vertical="top"/>
    </xf>
    <xf numFmtId="166" fontId="0" fillId="0" borderId="12" xfId="0" applyNumberFormat="1" applyBorder="1" applyAlignment="1">
      <alignment horizontal="center" vertical="top"/>
    </xf>
    <xf numFmtId="0" fontId="1" fillId="0" borderId="1" xfId="0" applyFont="1" applyBorder="1" applyAlignment="1">
      <alignment horizontal="center" vertical="top"/>
    </xf>
    <xf numFmtId="0" fontId="1" fillId="0" borderId="5" xfId="0" applyFont="1" applyBorder="1" applyAlignment="1">
      <alignment horizontal="center" vertical="top"/>
    </xf>
    <xf numFmtId="0" fontId="1" fillId="0" borderId="6" xfId="0" applyFont="1" applyBorder="1" applyAlignment="1">
      <alignment horizontal="center" vertical="top" wrapText="1"/>
    </xf>
    <xf numFmtId="168" fontId="0" fillId="0" borderId="6" xfId="0" applyNumberFormat="1" applyBorder="1" applyAlignment="1">
      <alignment horizontal="center" vertical="top"/>
    </xf>
    <xf numFmtId="166" fontId="0" fillId="0" borderId="7" xfId="0" applyNumberFormat="1" applyBorder="1" applyAlignment="1">
      <alignment horizontal="center" vertical="top"/>
    </xf>
    <xf numFmtId="166" fontId="0" fillId="0" borderId="0" xfId="0" applyNumberFormat="1" applyAlignment="1">
      <alignment horizontal="center" vertical="top"/>
    </xf>
    <xf numFmtId="0" fontId="6" fillId="0" borderId="0" xfId="1" applyFont="1" applyAlignment="1">
      <alignment horizontal="left" vertical="top" wrapText="1"/>
    </xf>
    <xf numFmtId="0" fontId="0" fillId="0" borderId="5" xfId="0" applyBorder="1" applyAlignment="1">
      <alignment horizontal="center" vertical="top"/>
    </xf>
    <xf numFmtId="0" fontId="0" fillId="0" borderId="13" xfId="0" applyBorder="1" applyAlignment="1">
      <alignment horizontal="center" vertical="top"/>
    </xf>
    <xf numFmtId="168" fontId="0" fillId="0" borderId="14" xfId="0" applyNumberFormat="1" applyBorder="1" applyAlignment="1">
      <alignment horizontal="center" vertical="top"/>
    </xf>
    <xf numFmtId="3" fontId="0" fillId="0" borderId="15" xfId="0" applyNumberFormat="1" applyBorder="1" applyAlignment="1">
      <alignment horizontal="center" vertical="top"/>
    </xf>
    <xf numFmtId="0" fontId="0" fillId="0" borderId="14" xfId="0" applyBorder="1" applyAlignment="1">
      <alignment horizontal="center" vertical="top"/>
    </xf>
    <xf numFmtId="166" fontId="0" fillId="0" borderId="14" xfId="0" applyNumberFormat="1" applyBorder="1" applyAlignment="1">
      <alignment horizontal="center" vertical="top"/>
    </xf>
    <xf numFmtId="0" fontId="0" fillId="0" borderId="0" xfId="0" applyFill="1" applyBorder="1" applyAlignment="1">
      <alignment horizontal="left" vertical="top"/>
    </xf>
    <xf numFmtId="0" fontId="7" fillId="0" borderId="0" xfId="1" applyFont="1" applyAlignment="1">
      <alignment horizontal="left" vertical="top" wrapText="1"/>
    </xf>
    <xf numFmtId="9" fontId="8" fillId="0" borderId="0" xfId="0" applyNumberFormat="1" applyFont="1" applyAlignment="1">
      <alignment horizontal="center"/>
    </xf>
    <xf numFmtId="0" fontId="8" fillId="0" borderId="0" xfId="0" applyFont="1"/>
    <xf numFmtId="0" fontId="0" fillId="0" borderId="0" xfId="0" applyBorder="1" applyAlignment="1">
      <alignment horizontal="center" vertical="top"/>
    </xf>
    <xf numFmtId="3" fontId="0" fillId="0" borderId="0" xfId="0" applyNumberFormat="1" applyBorder="1" applyAlignment="1">
      <alignment horizontal="center"/>
    </xf>
    <xf numFmtId="165" fontId="0" fillId="0" borderId="0" xfId="0" applyNumberFormat="1" applyBorder="1" applyAlignment="1">
      <alignment horizontal="center" vertical="top"/>
    </xf>
    <xf numFmtId="3" fontId="0" fillId="0" borderId="0" xfId="0" applyNumberFormat="1" applyBorder="1" applyAlignment="1">
      <alignment horizontal="center" vertical="top"/>
    </xf>
    <xf numFmtId="166" fontId="0" fillId="0" borderId="0" xfId="0" applyNumberFormat="1" applyBorder="1" applyAlignment="1">
      <alignment horizontal="center" vertical="top"/>
    </xf>
    <xf numFmtId="167" fontId="0" fillId="0" borderId="0" xfId="0" applyNumberFormat="1" applyBorder="1" applyAlignment="1">
      <alignment horizontal="center" vertical="top"/>
    </xf>
    <xf numFmtId="0" fontId="9" fillId="0" borderId="0" xfId="8"/>
    <xf numFmtId="1" fontId="0" fillId="0" borderId="10" xfId="4" applyNumberFormat="1" applyFont="1" applyBorder="1" applyAlignment="1">
      <alignment horizontal="center" vertical="top"/>
    </xf>
    <xf numFmtId="3" fontId="0" fillId="0" borderId="10" xfId="3" applyNumberFormat="1" applyFont="1" applyBorder="1" applyAlignment="1">
      <alignment horizontal="center" vertical="top"/>
    </xf>
    <xf numFmtId="0" fontId="0" fillId="0" borderId="0" xfId="0" applyAlignment="1">
      <alignment horizontal="center" vertical="top"/>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9" xfId="0" applyBorder="1" applyAlignment="1">
      <alignment horizontal="center" vertical="top" wrapText="1"/>
    </xf>
    <xf numFmtId="165" fontId="0" fillId="0" borderId="12" xfId="0" applyNumberFormat="1" applyBorder="1" applyAlignment="1">
      <alignment horizontal="center"/>
    </xf>
    <xf numFmtId="0" fontId="1" fillId="0" borderId="1" xfId="0" applyFont="1" applyBorder="1" applyAlignment="1">
      <alignment horizontal="center" vertical="top" wrapText="1"/>
    </xf>
    <xf numFmtId="0" fontId="1" fillId="0" borderId="3" xfId="0" applyFont="1" applyBorder="1" applyAlignment="1">
      <alignment horizontal="center" vertical="top"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1" fillId="0" borderId="0" xfId="0" applyFont="1" applyBorder="1" applyAlignment="1">
      <alignment vertical="center" wrapText="1"/>
    </xf>
    <xf numFmtId="0" fontId="0" fillId="0" borderId="0" xfId="0" applyFont="1"/>
    <xf numFmtId="0" fontId="0" fillId="0" borderId="0" xfId="0" applyFont="1" applyBorder="1" applyAlignment="1">
      <alignment vertical="top" wrapText="1"/>
    </xf>
    <xf numFmtId="0" fontId="0" fillId="0" borderId="8" xfId="0" applyFont="1" applyBorder="1" applyAlignment="1">
      <alignment vertical="top" wrapText="1"/>
    </xf>
    <xf numFmtId="0" fontId="0" fillId="0" borderId="10" xfId="0" applyFont="1" applyBorder="1" applyAlignment="1">
      <alignment vertical="top" wrapText="1"/>
    </xf>
    <xf numFmtId="0" fontId="0" fillId="0" borderId="11" xfId="0" applyFont="1" applyBorder="1" applyAlignment="1">
      <alignment vertical="top" wrapText="1"/>
    </xf>
    <xf numFmtId="0" fontId="0" fillId="0" borderId="1" xfId="0" applyFont="1" applyBorder="1"/>
    <xf numFmtId="3" fontId="0" fillId="0" borderId="5" xfId="0" applyNumberFormat="1" applyFont="1" applyBorder="1" applyAlignment="1">
      <alignment horizontal="center" vertical="top"/>
    </xf>
    <xf numFmtId="3" fontId="0" fillId="0" borderId="6" xfId="0" applyNumberFormat="1" applyFont="1" applyBorder="1" applyAlignment="1">
      <alignment horizontal="center" vertical="top"/>
    </xf>
    <xf numFmtId="168" fontId="0" fillId="0" borderId="7" xfId="0" applyNumberFormat="1" applyFont="1" applyBorder="1" applyAlignment="1">
      <alignment horizontal="center" vertical="top"/>
    </xf>
    <xf numFmtId="168" fontId="0" fillId="0" borderId="0" xfId="0" applyNumberFormat="1" applyFont="1" applyBorder="1" applyAlignment="1">
      <alignment horizontal="center" vertical="top"/>
    </xf>
    <xf numFmtId="168" fontId="0" fillId="0" borderId="8" xfId="0" applyNumberFormat="1" applyFont="1" applyBorder="1" applyAlignment="1">
      <alignment horizontal="center" vertical="top"/>
    </xf>
    <xf numFmtId="3" fontId="0" fillId="0" borderId="0" xfId="0" applyNumberFormat="1" applyFont="1" applyBorder="1" applyAlignment="1">
      <alignment horizontal="center" vertical="top"/>
    </xf>
    <xf numFmtId="0" fontId="0" fillId="0" borderId="3" xfId="0" applyFont="1" applyBorder="1"/>
    <xf numFmtId="3" fontId="0" fillId="0" borderId="10" xfId="0" applyNumberFormat="1" applyFont="1" applyBorder="1" applyAlignment="1">
      <alignment horizontal="center" vertical="top"/>
    </xf>
    <xf numFmtId="3" fontId="0" fillId="0" borderId="11" xfId="0" applyNumberFormat="1" applyFont="1" applyBorder="1" applyAlignment="1">
      <alignment horizontal="center" vertical="top"/>
    </xf>
    <xf numFmtId="0" fontId="0" fillId="0" borderId="2" xfId="0" applyFont="1" applyBorder="1"/>
    <xf numFmtId="3" fontId="0" fillId="0" borderId="8" xfId="0" applyNumberFormat="1" applyFont="1" applyBorder="1" applyAlignment="1">
      <alignment horizontal="center" vertical="top"/>
    </xf>
    <xf numFmtId="168" fontId="0" fillId="0" borderId="4" xfId="0" applyNumberFormat="1" applyFont="1" applyBorder="1" applyAlignment="1">
      <alignment horizontal="center" vertical="top"/>
    </xf>
    <xf numFmtId="168" fontId="0" fillId="0" borderId="5" xfId="0" applyNumberFormat="1" applyFont="1" applyBorder="1" applyAlignment="1">
      <alignment horizontal="center" vertical="top"/>
    </xf>
    <xf numFmtId="168" fontId="0" fillId="0" borderId="6" xfId="0" applyNumberFormat="1" applyFont="1" applyBorder="1" applyAlignment="1">
      <alignment horizontal="center" vertical="top"/>
    </xf>
    <xf numFmtId="168" fontId="0" fillId="0" borderId="9" xfId="0" applyNumberFormat="1" applyFont="1" applyBorder="1" applyAlignment="1">
      <alignment horizontal="center" vertical="top"/>
    </xf>
    <xf numFmtId="168" fontId="0" fillId="0" borderId="10" xfId="0" applyNumberFormat="1" applyFont="1" applyBorder="1" applyAlignment="1">
      <alignment horizontal="center" vertical="top"/>
    </xf>
    <xf numFmtId="168" fontId="0" fillId="0" borderId="11" xfId="0" applyNumberFormat="1" applyFont="1" applyBorder="1" applyAlignment="1">
      <alignment horizontal="center" vertical="top"/>
    </xf>
    <xf numFmtId="0" fontId="0" fillId="0" borderId="0" xfId="0" applyFont="1" applyAlignment="1">
      <alignment wrapText="1"/>
    </xf>
    <xf numFmtId="0" fontId="1" fillId="0" borderId="0" xfId="0" applyFont="1" applyBorder="1" applyAlignment="1">
      <alignment vertical="top" wrapText="1"/>
    </xf>
    <xf numFmtId="0" fontId="0" fillId="0" borderId="0" xfId="0" applyFont="1" applyAlignment="1">
      <alignment vertical="top"/>
    </xf>
    <xf numFmtId="0" fontId="0" fillId="0" borderId="0" xfId="0" applyFont="1" applyBorder="1" applyAlignment="1">
      <alignment horizontal="left" vertical="top" wrapText="1"/>
    </xf>
    <xf numFmtId="0" fontId="0" fillId="0" borderId="0" xfId="0" applyFont="1" applyAlignment="1">
      <alignment vertical="top" wrapText="1"/>
    </xf>
    <xf numFmtId="0" fontId="0" fillId="0" borderId="0" xfId="0" applyFont="1" applyAlignment="1">
      <alignment horizontal="left" vertical="top"/>
    </xf>
    <xf numFmtId="165" fontId="0" fillId="0" borderId="12" xfId="0" applyNumberFormat="1" applyFill="1" applyBorder="1" applyAlignment="1">
      <alignment horizontal="center" vertical="top"/>
    </xf>
    <xf numFmtId="166" fontId="0" fillId="0" borderId="9" xfId="0" applyNumberFormat="1" applyFill="1" applyBorder="1" applyAlignment="1">
      <alignment horizontal="center" vertical="top"/>
    </xf>
    <xf numFmtId="166" fontId="0" fillId="0" borderId="10" xfId="0" applyNumberFormat="1" applyFill="1" applyBorder="1" applyAlignment="1">
      <alignment horizontal="center" vertical="top"/>
    </xf>
    <xf numFmtId="166" fontId="0" fillId="0" borderId="11" xfId="0" applyNumberFormat="1" applyFill="1" applyBorder="1" applyAlignment="1">
      <alignment horizontal="center" vertical="top"/>
    </xf>
    <xf numFmtId="3" fontId="0" fillId="0" borderId="9" xfId="0" applyNumberFormat="1" applyFill="1" applyBorder="1" applyAlignment="1">
      <alignment horizontal="center" vertical="top"/>
    </xf>
    <xf numFmtId="3" fontId="0" fillId="0" borderId="10" xfId="0" applyNumberFormat="1" applyFill="1" applyBorder="1" applyAlignment="1">
      <alignment horizontal="center" vertical="top"/>
    </xf>
    <xf numFmtId="3" fontId="0" fillId="0" borderId="11" xfId="0" applyNumberFormat="1" applyFill="1" applyBorder="1" applyAlignment="1">
      <alignment horizontal="center" vertical="top"/>
    </xf>
    <xf numFmtId="0" fontId="0" fillId="0" borderId="12" xfId="0" applyFill="1" applyBorder="1" applyAlignment="1">
      <alignment horizontal="center" vertical="top"/>
    </xf>
    <xf numFmtId="3" fontId="0" fillId="0" borderId="12" xfId="0" applyNumberFormat="1" applyFill="1" applyBorder="1" applyAlignment="1">
      <alignment horizontal="center" vertical="top"/>
    </xf>
    <xf numFmtId="0" fontId="0" fillId="0" borderId="0" xfId="0" applyBorder="1"/>
    <xf numFmtId="0" fontId="0" fillId="0" borderId="0" xfId="0" applyBorder="1" applyAlignment="1">
      <alignment vertical="top" wrapText="1"/>
    </xf>
    <xf numFmtId="3" fontId="0" fillId="0" borderId="0" xfId="0" applyNumberFormat="1" applyFill="1" applyBorder="1" applyAlignment="1">
      <alignment horizontal="center" vertical="top"/>
    </xf>
    <xf numFmtId="0" fontId="0" fillId="0" borderId="0" xfId="0" applyFill="1" applyBorder="1" applyAlignment="1">
      <alignment horizontal="center" vertical="top"/>
    </xf>
    <xf numFmtId="0" fontId="1" fillId="0" borderId="0" xfId="0" applyFont="1" applyFill="1" applyBorder="1" applyAlignment="1">
      <alignment vertical="top" wrapText="1"/>
    </xf>
    <xf numFmtId="0" fontId="0" fillId="0" borderId="9" xfId="0" applyBorder="1" applyAlignment="1">
      <alignment horizontal="center"/>
    </xf>
    <xf numFmtId="0" fontId="0" fillId="0" borderId="11" xfId="0" applyBorder="1" applyAlignment="1">
      <alignment horizontal="center"/>
    </xf>
    <xf numFmtId="0" fontId="8" fillId="0" borderId="0" xfId="0" applyFont="1" applyAlignment="1"/>
    <xf numFmtId="0" fontId="6" fillId="0" borderId="0" xfId="1" applyFont="1" applyAlignment="1">
      <alignment horizontal="left" vertical="top" wrapText="1"/>
    </xf>
    <xf numFmtId="0" fontId="1" fillId="0" borderId="1" xfId="0" applyFont="1" applyBorder="1" applyAlignment="1">
      <alignment horizontal="center" vertical="top" wrapText="1"/>
    </xf>
    <xf numFmtId="0" fontId="1" fillId="0" borderId="3" xfId="0" applyFont="1" applyBorder="1" applyAlignment="1">
      <alignment horizontal="center" vertical="top" wrapText="1"/>
    </xf>
    <xf numFmtId="0" fontId="0" fillId="0" borderId="0" xfId="0" applyAlignment="1">
      <alignment horizontal="left" vertical="top" wrapText="1"/>
    </xf>
    <xf numFmtId="0" fontId="8" fillId="0" borderId="0" xfId="0" applyFont="1" applyAlignment="1">
      <alignment horizontal="center"/>
    </xf>
    <xf numFmtId="0" fontId="1" fillId="0" borderId="0" xfId="0" applyFont="1" applyFill="1" applyBorder="1" applyAlignment="1">
      <alignment horizontal="center" vertical="top" wrapText="1"/>
    </xf>
    <xf numFmtId="0" fontId="1" fillId="0" borderId="4" xfId="0" applyFont="1" applyBorder="1" applyAlignment="1">
      <alignment horizontal="center" vertical="top"/>
    </xf>
    <xf numFmtId="0" fontId="1" fillId="0" borderId="6" xfId="0" applyFont="1" applyBorder="1" applyAlignment="1">
      <alignment horizontal="center" vertical="top"/>
    </xf>
    <xf numFmtId="0" fontId="1" fillId="0" borderId="4" xfId="0" applyFont="1" applyBorder="1" applyAlignment="1">
      <alignment horizontal="center" vertical="top" wrapText="1"/>
    </xf>
    <xf numFmtId="0" fontId="1" fillId="0" borderId="9" xfId="0" applyFont="1" applyBorder="1" applyAlignment="1">
      <alignment horizontal="center" vertical="top" wrapText="1"/>
    </xf>
    <xf numFmtId="0" fontId="1" fillId="0" borderId="5" xfId="0" applyFont="1" applyBorder="1" applyAlignment="1">
      <alignment horizontal="center" vertical="top"/>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0" fillId="0" borderId="1" xfId="0"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center" vertical="top"/>
    </xf>
    <xf numFmtId="0" fontId="0" fillId="0" borderId="0" xfId="0" applyAlignment="1">
      <alignment horizontal="center" vertical="top"/>
    </xf>
    <xf numFmtId="0" fontId="0" fillId="0" borderId="8" xfId="0" applyBorder="1" applyAlignment="1">
      <alignment horizontal="center" vertical="top"/>
    </xf>
    <xf numFmtId="0" fontId="0" fillId="0" borderId="0" xfId="0" applyAlignment="1">
      <alignment horizontal="center" vertical="top" wrapText="1"/>
    </xf>
    <xf numFmtId="0" fontId="0" fillId="0" borderId="0" xfId="0" applyAlignment="1">
      <alignment horizontal="left" wrapText="1"/>
    </xf>
    <xf numFmtId="0" fontId="1" fillId="0" borderId="2" xfId="0" applyFont="1" applyBorder="1" applyAlignment="1">
      <alignment horizontal="center" vertical="top" wrapText="1"/>
    </xf>
    <xf numFmtId="0" fontId="0" fillId="0" borderId="7"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8" xfId="0" applyBorder="1" applyAlignment="1">
      <alignment horizontal="center" vertical="top" wrapText="1"/>
    </xf>
    <xf numFmtId="0" fontId="0" fillId="0" borderId="11" xfId="0" applyBorder="1" applyAlignment="1">
      <alignment horizontal="center" vertical="top" wrapText="1"/>
    </xf>
    <xf numFmtId="0" fontId="0" fillId="0" borderId="5" xfId="0" applyBorder="1" applyAlignment="1">
      <alignment horizontal="center" vertical="top"/>
    </xf>
    <xf numFmtId="0" fontId="0" fillId="0" borderId="10" xfId="0" applyBorder="1" applyAlignment="1">
      <alignment horizontal="center" vertical="top"/>
    </xf>
    <xf numFmtId="0" fontId="0" fillId="0" borderId="0" xfId="0" applyAlignment="1">
      <alignment horizontal="center"/>
    </xf>
    <xf numFmtId="0" fontId="1" fillId="0" borderId="7" xfId="0" applyFont="1" applyBorder="1" applyAlignment="1">
      <alignment horizontal="center" vertical="top" wrapText="1"/>
    </xf>
    <xf numFmtId="0" fontId="1" fillId="0" borderId="8" xfId="0" applyFont="1" applyBorder="1" applyAlignment="1">
      <alignment horizontal="center" vertical="top" wrapText="1"/>
    </xf>
    <xf numFmtId="0" fontId="0" fillId="0" borderId="0" xfId="0" applyBorder="1" applyAlignment="1">
      <alignment horizontal="center" vertical="top" wrapText="1"/>
    </xf>
    <xf numFmtId="0" fontId="0" fillId="0" borderId="1" xfId="0" applyFont="1" applyBorder="1" applyAlignment="1">
      <alignment horizontal="center" vertical="top"/>
    </xf>
    <xf numFmtId="0" fontId="0" fillId="0" borderId="3" xfId="0" applyFont="1" applyBorder="1" applyAlignment="1">
      <alignment horizontal="center" vertical="top"/>
    </xf>
    <xf numFmtId="0" fontId="0" fillId="0" borderId="0" xfId="0" applyFont="1" applyAlignment="1">
      <alignment horizontal="left" vertical="top" wrapText="1"/>
    </xf>
    <xf numFmtId="0" fontId="0" fillId="0" borderId="0" xfId="0" applyFont="1" applyBorder="1" applyAlignment="1">
      <alignment horizontal="center" vertical="top" wrapText="1"/>
    </xf>
    <xf numFmtId="0" fontId="0" fillId="0" borderId="8" xfId="0" applyFont="1" applyBorder="1" applyAlignment="1">
      <alignment horizontal="center" vertical="top" wrapText="1"/>
    </xf>
    <xf numFmtId="0" fontId="0" fillId="0" borderId="2" xfId="0" applyFont="1" applyBorder="1" applyAlignment="1">
      <alignment horizontal="center" vertical="top"/>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0" fillId="0" borderId="7" xfId="0" applyFont="1" applyBorder="1" applyAlignment="1">
      <alignment horizontal="center" vertical="top" wrapText="1"/>
    </xf>
    <xf numFmtId="0" fontId="0" fillId="0" borderId="9" xfId="0" applyFont="1" applyBorder="1" applyAlignment="1">
      <alignment horizontal="center" vertical="top" wrapText="1"/>
    </xf>
    <xf numFmtId="0" fontId="8" fillId="0" borderId="0" xfId="0" applyFont="1" applyAlignment="1">
      <alignment horizontal="left" vertical="center"/>
    </xf>
    <xf numFmtId="0" fontId="0" fillId="0" borderId="0" xfId="0" applyFill="1" applyBorder="1" applyAlignment="1">
      <alignment horizontal="center"/>
    </xf>
    <xf numFmtId="0" fontId="8" fillId="0" borderId="0" xfId="8" applyFont="1"/>
  </cellXfs>
  <cellStyles count="9">
    <cellStyle name="Comma 2" xfId="7" xr:uid="{8265FEFA-629A-4B77-8210-208B8E0C7860}"/>
    <cellStyle name="Comma 3" xfId="3" xr:uid="{1BB69C3B-0882-4279-A44E-F8DC92B0CA08}"/>
    <cellStyle name="Lien hypertexte" xfId="1" builtinId="8"/>
    <cellStyle name="Normal" xfId="0" builtinId="0"/>
    <cellStyle name="Normal 2" xfId="6" xr:uid="{D628823D-B13E-4747-845C-41D03B87ED4A}"/>
    <cellStyle name="Normal 3" xfId="5" xr:uid="{07E8468B-892C-4226-8A17-B5DAAE205FCC}"/>
    <cellStyle name="Normal 4" xfId="4" xr:uid="{BD1FC9BE-CAC0-4BB7-BD27-FD1FA60DC381}"/>
    <cellStyle name="Normal 5" xfId="8" xr:uid="{5F13A1C0-0378-43D4-B8E8-124058E3D720}"/>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gzucman/Dropbox/TorslovEtal17/RawData/TWZRawData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faye/Dropbox/EUTO/03.%20Research/24_Global_report/figures/5-polici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Dropbox/WIDChina/PaperApril2017/minimum%20wa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Users/t.piketty/Dropbox/Piketty2018StructureOfPoliticalConflict/All%20couples%201970%20to%202004%20MFTTAWE%20comparis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егион"/>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егион"/>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stralianNA2"/>
      <sheetName val="AustralianNA"/>
      <sheetName val="AustralianNA3"/>
      <sheetName val="AustralianNA4"/>
      <sheetName val="AustralianNA5"/>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1 - carveouts"/>
      <sheetName val="5.2 - minrates"/>
      <sheetName val="5.3 - wealthtax"/>
      <sheetName val="5.4 - sales"/>
      <sheetName val="RawOutputs"/>
      <sheetName val="1.Unilteral scenario"/>
      <sheetName val="2. Partial (EU+ other) 20%cond "/>
      <sheetName val="3.Partial (UTPR no condition)"/>
      <sheetName val="4. Sales apportionment"/>
      <sheetName val="5. IRR-various rates"/>
      <sheetName val="6.QDMTT-various rate"/>
    </sheetNames>
    <sheetDataSet>
      <sheetData sheetId="0" refreshError="1"/>
      <sheetData sheetId="1" refreshError="1"/>
      <sheetData sheetId="2" refreshError="1"/>
      <sheetData sheetId="3" refreshError="1"/>
      <sheetData sheetId="4" refreshError="1"/>
      <sheetData sheetId="5">
        <row r="1">
          <cell r="Q1" t="str">
            <v>code3</v>
          </cell>
          <cell r="R1" t="str">
            <v>country</v>
          </cell>
        </row>
        <row r="2">
          <cell r="Q2" t="str">
            <v>AFG</v>
          </cell>
          <cell r="R2" t="str">
            <v>Afghanistan</v>
          </cell>
        </row>
        <row r="3">
          <cell r="Q3" t="str">
            <v>ALB</v>
          </cell>
          <cell r="R3" t="str">
            <v>Albania</v>
          </cell>
        </row>
        <row r="4">
          <cell r="Q4" t="str">
            <v>DZA</v>
          </cell>
          <cell r="R4" t="str">
            <v>Algeria</v>
          </cell>
        </row>
        <row r="5">
          <cell r="Q5" t="str">
            <v>ASM</v>
          </cell>
          <cell r="R5" t="str">
            <v>American Samoa</v>
          </cell>
        </row>
        <row r="6">
          <cell r="Q6" t="str">
            <v>AND</v>
          </cell>
          <cell r="R6" t="str">
            <v>Andorra</v>
          </cell>
        </row>
        <row r="7">
          <cell r="Q7" t="str">
            <v>AGO</v>
          </cell>
          <cell r="R7" t="str">
            <v>Angola</v>
          </cell>
        </row>
        <row r="8">
          <cell r="Q8" t="str">
            <v>AIA</v>
          </cell>
          <cell r="R8" t="str">
            <v>Anguilla</v>
          </cell>
        </row>
        <row r="9">
          <cell r="Q9" t="str">
            <v>ATA</v>
          </cell>
          <cell r="R9" t="str">
            <v>Antarctica</v>
          </cell>
        </row>
        <row r="10">
          <cell r="Q10" t="str">
            <v>ATG</v>
          </cell>
          <cell r="R10" t="str">
            <v>Antigua and Barbuda</v>
          </cell>
        </row>
        <row r="11">
          <cell r="Q11" t="str">
            <v>ARG</v>
          </cell>
          <cell r="R11" t="str">
            <v>Argentina</v>
          </cell>
        </row>
        <row r="12">
          <cell r="Q12" t="str">
            <v>ARM</v>
          </cell>
          <cell r="R12" t="str">
            <v>Armenia</v>
          </cell>
        </row>
        <row r="13">
          <cell r="Q13" t="str">
            <v>ABW</v>
          </cell>
          <cell r="R13" t="str">
            <v>Aruba</v>
          </cell>
        </row>
        <row r="14">
          <cell r="Q14" t="str">
            <v>AUS</v>
          </cell>
          <cell r="R14" t="str">
            <v>Australia</v>
          </cell>
        </row>
        <row r="15">
          <cell r="Q15" t="str">
            <v>AUT</v>
          </cell>
          <cell r="R15" t="str">
            <v>Austria</v>
          </cell>
        </row>
        <row r="16">
          <cell r="Q16" t="str">
            <v>AZE</v>
          </cell>
          <cell r="R16" t="str">
            <v>Azerbaijan</v>
          </cell>
        </row>
        <row r="17">
          <cell r="Q17" t="str">
            <v>BHS</v>
          </cell>
          <cell r="R17" t="str">
            <v>Bahamas</v>
          </cell>
        </row>
        <row r="18">
          <cell r="Q18" t="str">
            <v>BHR</v>
          </cell>
          <cell r="R18" t="str">
            <v>Bahrain</v>
          </cell>
        </row>
        <row r="19">
          <cell r="Q19" t="str">
            <v>BGD</v>
          </cell>
          <cell r="R19" t="str">
            <v>Bangladesh</v>
          </cell>
        </row>
        <row r="20">
          <cell r="Q20" t="str">
            <v>BRB</v>
          </cell>
          <cell r="R20" t="str">
            <v>Barbados</v>
          </cell>
        </row>
        <row r="21">
          <cell r="Q21" t="str">
            <v>BLR</v>
          </cell>
          <cell r="R21" t="str">
            <v>Belarus</v>
          </cell>
        </row>
        <row r="22">
          <cell r="Q22" t="str">
            <v>BEL</v>
          </cell>
          <cell r="R22" t="str">
            <v>Belgium</v>
          </cell>
        </row>
        <row r="23">
          <cell r="Q23" t="str">
            <v>BLZ</v>
          </cell>
          <cell r="R23" t="str">
            <v>Belize</v>
          </cell>
        </row>
        <row r="24">
          <cell r="Q24" t="str">
            <v>BEN</v>
          </cell>
          <cell r="R24" t="str">
            <v>Benin</v>
          </cell>
        </row>
        <row r="25">
          <cell r="Q25" t="str">
            <v>BMU</v>
          </cell>
          <cell r="R25" t="str">
            <v>Bermuda</v>
          </cell>
        </row>
        <row r="26">
          <cell r="Q26" t="str">
            <v>BTN</v>
          </cell>
          <cell r="R26" t="str">
            <v>Bhutan</v>
          </cell>
        </row>
        <row r="27">
          <cell r="Q27" t="str">
            <v>BOL</v>
          </cell>
          <cell r="R27" t="str">
            <v>Bolivia</v>
          </cell>
        </row>
        <row r="28">
          <cell r="Q28" t="str">
            <v>BES</v>
          </cell>
          <cell r="R28" t="str">
            <v>Bonaire, Sint Eustatius and Saba</v>
          </cell>
        </row>
        <row r="29">
          <cell r="Q29" t="str">
            <v>BIH</v>
          </cell>
          <cell r="R29" t="str">
            <v>Bosnia and Herzegovina</v>
          </cell>
        </row>
        <row r="30">
          <cell r="Q30" t="str">
            <v>BWA</v>
          </cell>
          <cell r="R30" t="str">
            <v>Botswana</v>
          </cell>
        </row>
        <row r="31">
          <cell r="Q31" t="str">
            <v>BVT</v>
          </cell>
          <cell r="R31" t="str">
            <v>Bouvet Island</v>
          </cell>
        </row>
        <row r="32">
          <cell r="Q32" t="str">
            <v>BRA</v>
          </cell>
          <cell r="R32" t="str">
            <v>Brazil</v>
          </cell>
        </row>
        <row r="33">
          <cell r="Q33" t="str">
            <v>IOT</v>
          </cell>
          <cell r="R33" t="str">
            <v>British Indian Ocean Territory (the)</v>
          </cell>
        </row>
        <row r="34">
          <cell r="Q34" t="str">
            <v>BRN</v>
          </cell>
          <cell r="R34" t="str">
            <v>Brunei Darussalam</v>
          </cell>
        </row>
        <row r="35">
          <cell r="Q35" t="str">
            <v>BGR</v>
          </cell>
          <cell r="R35" t="str">
            <v>Bulgaria</v>
          </cell>
        </row>
        <row r="36">
          <cell r="Q36" t="str">
            <v>BFA</v>
          </cell>
          <cell r="R36" t="str">
            <v>Burkina Faso</v>
          </cell>
        </row>
        <row r="37">
          <cell r="Q37" t="str">
            <v>BDI</v>
          </cell>
          <cell r="R37" t="str">
            <v>Burundi</v>
          </cell>
        </row>
        <row r="38">
          <cell r="Q38" t="str">
            <v>CPV</v>
          </cell>
          <cell r="R38" t="str">
            <v>Cabo Verde</v>
          </cell>
        </row>
        <row r="39">
          <cell r="Q39" t="str">
            <v>KHM</v>
          </cell>
          <cell r="R39" t="str">
            <v>Cambodia</v>
          </cell>
        </row>
        <row r="40">
          <cell r="Q40" t="str">
            <v>CMR</v>
          </cell>
          <cell r="R40" t="str">
            <v>Cameroon</v>
          </cell>
        </row>
        <row r="41">
          <cell r="Q41" t="str">
            <v>CAN</v>
          </cell>
          <cell r="R41" t="str">
            <v>Canada</v>
          </cell>
        </row>
        <row r="42">
          <cell r="Q42" t="str">
            <v>CYM</v>
          </cell>
          <cell r="R42" t="str">
            <v>Cayman Islands (the)</v>
          </cell>
        </row>
        <row r="43">
          <cell r="Q43" t="str">
            <v>CAF</v>
          </cell>
          <cell r="R43" t="str">
            <v>Central African Republic</v>
          </cell>
        </row>
        <row r="44">
          <cell r="Q44" t="str">
            <v>TCD</v>
          </cell>
          <cell r="R44" t="str">
            <v>Chad</v>
          </cell>
        </row>
        <row r="45">
          <cell r="Q45" t="str">
            <v>CHL</v>
          </cell>
          <cell r="R45" t="str">
            <v>Chile</v>
          </cell>
        </row>
        <row r="46">
          <cell r="Q46" t="str">
            <v>CHN</v>
          </cell>
          <cell r="R46" t="str">
            <v>China</v>
          </cell>
        </row>
        <row r="47">
          <cell r="Q47" t="str">
            <v>CXR</v>
          </cell>
          <cell r="R47" t="str">
            <v>Christmas Island</v>
          </cell>
        </row>
        <row r="48">
          <cell r="Q48" t="str">
            <v>CCK</v>
          </cell>
          <cell r="R48" t="str">
            <v>Cocos (Keeling) Islands (the)</v>
          </cell>
        </row>
        <row r="49">
          <cell r="Q49" t="str">
            <v>COL</v>
          </cell>
          <cell r="R49" t="str">
            <v>Colombia</v>
          </cell>
        </row>
        <row r="50">
          <cell r="Q50" t="str">
            <v>COM</v>
          </cell>
          <cell r="R50" t="str">
            <v>Comoros</v>
          </cell>
        </row>
        <row r="51">
          <cell r="Q51" t="str">
            <v>COD</v>
          </cell>
          <cell r="R51" t="str">
            <v>Congo (the Democratic Republic of the)</v>
          </cell>
        </row>
        <row r="52">
          <cell r="Q52" t="str">
            <v>COG</v>
          </cell>
          <cell r="R52" t="str">
            <v>Congo</v>
          </cell>
        </row>
        <row r="53">
          <cell r="Q53" t="str">
            <v>COK</v>
          </cell>
          <cell r="R53" t="str">
            <v>Cook Islands (the)</v>
          </cell>
        </row>
        <row r="54">
          <cell r="Q54" t="str">
            <v>CRI</v>
          </cell>
          <cell r="R54" t="str">
            <v>Costa Rica</v>
          </cell>
        </row>
        <row r="55">
          <cell r="Q55" t="str">
            <v>HRV</v>
          </cell>
          <cell r="R55" t="str">
            <v>Croatia</v>
          </cell>
        </row>
        <row r="56">
          <cell r="Q56" t="str">
            <v>CUB</v>
          </cell>
          <cell r="R56" t="str">
            <v>Cuba</v>
          </cell>
        </row>
        <row r="57">
          <cell r="Q57" t="str">
            <v>CUW</v>
          </cell>
          <cell r="R57" t="str">
            <v>Curaçao</v>
          </cell>
        </row>
        <row r="58">
          <cell r="Q58" t="str">
            <v>CYP</v>
          </cell>
          <cell r="R58" t="str">
            <v>Cyprus</v>
          </cell>
        </row>
        <row r="59">
          <cell r="Q59" t="str">
            <v>CZE</v>
          </cell>
          <cell r="R59" t="str">
            <v>Czechia</v>
          </cell>
        </row>
        <row r="60">
          <cell r="Q60" t="str">
            <v>CIV</v>
          </cell>
          <cell r="R60" t="str">
            <v>Côte d'Ivoire</v>
          </cell>
        </row>
        <row r="61">
          <cell r="Q61" t="str">
            <v>DNK</v>
          </cell>
          <cell r="R61" t="str">
            <v>Denmark</v>
          </cell>
        </row>
        <row r="62">
          <cell r="Q62" t="str">
            <v>DJI</v>
          </cell>
          <cell r="R62" t="str">
            <v>Djibouti</v>
          </cell>
        </row>
        <row r="63">
          <cell r="Q63" t="str">
            <v>DMA</v>
          </cell>
          <cell r="R63" t="str">
            <v>Dominica</v>
          </cell>
        </row>
        <row r="64">
          <cell r="Q64" t="str">
            <v>DOM</v>
          </cell>
          <cell r="R64" t="str">
            <v>Dominican Republic</v>
          </cell>
        </row>
        <row r="65">
          <cell r="Q65" t="str">
            <v>ECU</v>
          </cell>
          <cell r="R65" t="str">
            <v>Ecuador</v>
          </cell>
        </row>
        <row r="66">
          <cell r="Q66" t="str">
            <v>EGY</v>
          </cell>
          <cell r="R66" t="str">
            <v>Egypt</v>
          </cell>
        </row>
        <row r="67">
          <cell r="Q67" t="str">
            <v>SLV</v>
          </cell>
          <cell r="R67" t="str">
            <v>El Salvador</v>
          </cell>
        </row>
        <row r="68">
          <cell r="Q68" t="str">
            <v>GNQ</v>
          </cell>
          <cell r="R68" t="str">
            <v>Equatorial Guinea</v>
          </cell>
        </row>
        <row r="69">
          <cell r="Q69" t="str">
            <v>ERI</v>
          </cell>
          <cell r="R69" t="str">
            <v>Eritrea</v>
          </cell>
        </row>
        <row r="70">
          <cell r="Q70" t="str">
            <v>EST</v>
          </cell>
          <cell r="R70" t="str">
            <v>Estonia</v>
          </cell>
        </row>
        <row r="71">
          <cell r="Q71" t="str">
            <v>SWZ</v>
          </cell>
          <cell r="R71" t="str">
            <v>Eswatini</v>
          </cell>
        </row>
        <row r="72">
          <cell r="Q72" t="str">
            <v>ETH</v>
          </cell>
          <cell r="R72" t="str">
            <v>Ethiopia</v>
          </cell>
        </row>
        <row r="73">
          <cell r="Q73" t="str">
            <v>FLK</v>
          </cell>
          <cell r="R73" t="str">
            <v>Falkland Islands (the) [Malvinas]</v>
          </cell>
        </row>
        <row r="74">
          <cell r="Q74" t="str">
            <v>FRO</v>
          </cell>
          <cell r="R74" t="str">
            <v>Faroe Islands (the)</v>
          </cell>
        </row>
        <row r="75">
          <cell r="Q75" t="str">
            <v>FJI</v>
          </cell>
          <cell r="R75" t="str">
            <v>Fiji</v>
          </cell>
        </row>
        <row r="76">
          <cell r="Q76" t="str">
            <v>FIN</v>
          </cell>
          <cell r="R76" t="str">
            <v>Finland</v>
          </cell>
        </row>
        <row r="77">
          <cell r="Q77" t="str">
            <v>FRA</v>
          </cell>
          <cell r="R77" t="str">
            <v>France</v>
          </cell>
        </row>
        <row r="78">
          <cell r="Q78" t="str">
            <v>GUF</v>
          </cell>
          <cell r="R78" t="str">
            <v>French Guiana</v>
          </cell>
        </row>
        <row r="79">
          <cell r="Q79" t="str">
            <v>PYF</v>
          </cell>
          <cell r="R79" t="str">
            <v>French Polynesia</v>
          </cell>
        </row>
        <row r="80">
          <cell r="Q80" t="str">
            <v>ATF</v>
          </cell>
          <cell r="R80" t="str">
            <v>French Southern Territories (the)</v>
          </cell>
        </row>
        <row r="81">
          <cell r="Q81" t="str">
            <v>GAB</v>
          </cell>
          <cell r="R81" t="str">
            <v>Gabon</v>
          </cell>
        </row>
        <row r="82">
          <cell r="Q82" t="str">
            <v>GMB</v>
          </cell>
          <cell r="R82" t="str">
            <v>Gambia (the)</v>
          </cell>
        </row>
        <row r="83">
          <cell r="Q83" t="str">
            <v>GEO</v>
          </cell>
          <cell r="R83" t="str">
            <v>Georgia</v>
          </cell>
        </row>
        <row r="84">
          <cell r="Q84" t="str">
            <v>DEU</v>
          </cell>
          <cell r="R84" t="str">
            <v>Germany</v>
          </cell>
        </row>
        <row r="85">
          <cell r="Q85" t="str">
            <v>GHA</v>
          </cell>
          <cell r="R85" t="str">
            <v>Ghana</v>
          </cell>
        </row>
        <row r="86">
          <cell r="Q86" t="str">
            <v>GIB</v>
          </cell>
          <cell r="R86" t="str">
            <v>Gibraltar</v>
          </cell>
        </row>
        <row r="87">
          <cell r="Q87" t="str">
            <v>GRC</v>
          </cell>
          <cell r="R87" t="str">
            <v>Greece</v>
          </cell>
        </row>
        <row r="88">
          <cell r="Q88" t="str">
            <v>GRL</v>
          </cell>
          <cell r="R88" t="str">
            <v>Greenland</v>
          </cell>
        </row>
        <row r="89">
          <cell r="Q89" t="str">
            <v>GRD</v>
          </cell>
          <cell r="R89" t="str">
            <v>Grenada</v>
          </cell>
        </row>
        <row r="90">
          <cell r="Q90" t="str">
            <v>GLP</v>
          </cell>
          <cell r="R90" t="str">
            <v>Guadeloupe</v>
          </cell>
        </row>
        <row r="91">
          <cell r="Q91" t="str">
            <v>GUM</v>
          </cell>
          <cell r="R91" t="str">
            <v>Guam</v>
          </cell>
        </row>
        <row r="92">
          <cell r="Q92" t="str">
            <v>GTM</v>
          </cell>
          <cell r="R92" t="str">
            <v>Guatemala</v>
          </cell>
        </row>
        <row r="93">
          <cell r="Q93" t="str">
            <v>GGY</v>
          </cell>
          <cell r="R93" t="str">
            <v>Guernsey</v>
          </cell>
        </row>
        <row r="94">
          <cell r="Q94" t="str">
            <v>GIN</v>
          </cell>
          <cell r="R94" t="str">
            <v>Guinea</v>
          </cell>
        </row>
        <row r="95">
          <cell r="Q95" t="str">
            <v>GNB</v>
          </cell>
          <cell r="R95" t="str">
            <v>Guinea-Bissau</v>
          </cell>
        </row>
        <row r="96">
          <cell r="Q96" t="str">
            <v>GUY</v>
          </cell>
          <cell r="R96" t="str">
            <v>Guyana</v>
          </cell>
        </row>
        <row r="97">
          <cell r="Q97" t="str">
            <v>HTI</v>
          </cell>
          <cell r="R97" t="str">
            <v>Haiti</v>
          </cell>
        </row>
        <row r="98">
          <cell r="Q98" t="str">
            <v>HMD</v>
          </cell>
          <cell r="R98" t="str">
            <v>Heard Island and McDonald Islands</v>
          </cell>
        </row>
        <row r="99">
          <cell r="Q99" t="str">
            <v>VAT</v>
          </cell>
          <cell r="R99" t="str">
            <v>Holy See (the)</v>
          </cell>
        </row>
        <row r="100">
          <cell r="Q100" t="str">
            <v>HND</v>
          </cell>
          <cell r="R100" t="str">
            <v>Honduras</v>
          </cell>
        </row>
        <row r="101">
          <cell r="Q101" t="str">
            <v>HKG</v>
          </cell>
          <cell r="R101" t="str">
            <v>Hong Kong</v>
          </cell>
        </row>
        <row r="102">
          <cell r="Q102" t="str">
            <v>HUN</v>
          </cell>
          <cell r="R102" t="str">
            <v>Hungary</v>
          </cell>
        </row>
        <row r="103">
          <cell r="Q103" t="str">
            <v>ISL</v>
          </cell>
          <cell r="R103" t="str">
            <v>Iceland</v>
          </cell>
        </row>
        <row r="104">
          <cell r="Q104" t="str">
            <v>IND</v>
          </cell>
          <cell r="R104" t="str">
            <v>India</v>
          </cell>
        </row>
        <row r="105">
          <cell r="Q105" t="str">
            <v>IDN</v>
          </cell>
          <cell r="R105" t="str">
            <v>Indonesia</v>
          </cell>
        </row>
        <row r="106">
          <cell r="Q106" t="str">
            <v>IRN</v>
          </cell>
          <cell r="R106" t="str">
            <v>Iran</v>
          </cell>
        </row>
        <row r="107">
          <cell r="Q107" t="str">
            <v>IRQ</v>
          </cell>
          <cell r="R107" t="str">
            <v>Iraq</v>
          </cell>
        </row>
        <row r="108">
          <cell r="Q108" t="str">
            <v>IRL</v>
          </cell>
          <cell r="R108" t="str">
            <v>Ireland</v>
          </cell>
        </row>
        <row r="109">
          <cell r="Q109" t="str">
            <v>IMN</v>
          </cell>
          <cell r="R109" t="str">
            <v>Isle of Man</v>
          </cell>
        </row>
        <row r="110">
          <cell r="Q110" t="str">
            <v>ISR</v>
          </cell>
          <cell r="R110" t="str">
            <v>Israel</v>
          </cell>
        </row>
        <row r="111">
          <cell r="Q111" t="str">
            <v>ITA</v>
          </cell>
          <cell r="R111" t="str">
            <v>Italy</v>
          </cell>
        </row>
        <row r="112">
          <cell r="Q112" t="str">
            <v>JAM</v>
          </cell>
          <cell r="R112" t="str">
            <v>Jamaica</v>
          </cell>
        </row>
        <row r="113">
          <cell r="Q113" t="str">
            <v>JPN</v>
          </cell>
          <cell r="R113" t="str">
            <v>Japan</v>
          </cell>
        </row>
        <row r="114">
          <cell r="Q114" t="str">
            <v>JEY</v>
          </cell>
          <cell r="R114" t="str">
            <v>Jersey</v>
          </cell>
        </row>
        <row r="115">
          <cell r="Q115" t="str">
            <v>JOR</v>
          </cell>
          <cell r="R115" t="str">
            <v>Jordan</v>
          </cell>
        </row>
        <row r="116">
          <cell r="Q116" t="str">
            <v>KAZ</v>
          </cell>
          <cell r="R116" t="str">
            <v>Kazakhstan</v>
          </cell>
        </row>
        <row r="117">
          <cell r="Q117" t="str">
            <v>KEN</v>
          </cell>
          <cell r="R117" t="str">
            <v>Kenya</v>
          </cell>
        </row>
        <row r="118">
          <cell r="Q118" t="str">
            <v>KIR</v>
          </cell>
          <cell r="R118" t="str">
            <v>Kiribati</v>
          </cell>
        </row>
        <row r="119">
          <cell r="Q119" t="str">
            <v>PRK</v>
          </cell>
          <cell r="R119" t="str">
            <v>Korea (the Democratic People's Republic of)</v>
          </cell>
        </row>
        <row r="120">
          <cell r="Q120" t="str">
            <v>KOR</v>
          </cell>
          <cell r="R120" t="str">
            <v>Korea</v>
          </cell>
        </row>
        <row r="121">
          <cell r="Q121" t="str">
            <v>KWT</v>
          </cell>
          <cell r="R121" t="str">
            <v>Kuwait</v>
          </cell>
        </row>
        <row r="122">
          <cell r="Q122" t="str">
            <v>KGZ</v>
          </cell>
          <cell r="R122" t="str">
            <v>Kyrgyzstan</v>
          </cell>
        </row>
        <row r="123">
          <cell r="Q123" t="str">
            <v>LAO</v>
          </cell>
          <cell r="R123" t="str">
            <v>Lao</v>
          </cell>
        </row>
        <row r="124">
          <cell r="Q124" t="str">
            <v>LVA</v>
          </cell>
          <cell r="R124" t="str">
            <v>Latvia</v>
          </cell>
        </row>
        <row r="125">
          <cell r="Q125" t="str">
            <v>LBN</v>
          </cell>
          <cell r="R125" t="str">
            <v>Lebanon</v>
          </cell>
        </row>
        <row r="126">
          <cell r="Q126" t="str">
            <v>LSO</v>
          </cell>
          <cell r="R126" t="str">
            <v>Lesotho</v>
          </cell>
        </row>
        <row r="127">
          <cell r="Q127" t="str">
            <v>LBR</v>
          </cell>
          <cell r="R127" t="str">
            <v>Liberia</v>
          </cell>
        </row>
        <row r="128">
          <cell r="Q128" t="str">
            <v>LBY</v>
          </cell>
          <cell r="R128" t="str">
            <v>Libya</v>
          </cell>
        </row>
        <row r="129">
          <cell r="Q129" t="str">
            <v>LIE</v>
          </cell>
          <cell r="R129" t="str">
            <v>Liechtenstein</v>
          </cell>
        </row>
        <row r="130">
          <cell r="Q130" t="str">
            <v>LTU</v>
          </cell>
          <cell r="R130" t="str">
            <v>Lithuania</v>
          </cell>
        </row>
        <row r="131">
          <cell r="Q131" t="str">
            <v>LUX</v>
          </cell>
          <cell r="R131" t="str">
            <v>Luxembourg</v>
          </cell>
        </row>
        <row r="132">
          <cell r="Q132" t="str">
            <v>MAC</v>
          </cell>
          <cell r="R132" t="str">
            <v>Macao</v>
          </cell>
        </row>
        <row r="133">
          <cell r="Q133" t="str">
            <v>MDG</v>
          </cell>
          <cell r="R133" t="str">
            <v>Madagascar</v>
          </cell>
        </row>
        <row r="134">
          <cell r="Q134" t="str">
            <v>MWI</v>
          </cell>
          <cell r="R134" t="str">
            <v>Malawi</v>
          </cell>
        </row>
        <row r="135">
          <cell r="Q135" t="str">
            <v>MYS</v>
          </cell>
          <cell r="R135" t="str">
            <v>Malaysia</v>
          </cell>
        </row>
        <row r="136">
          <cell r="Q136" t="str">
            <v>MDV</v>
          </cell>
          <cell r="R136" t="str">
            <v>Maldives</v>
          </cell>
        </row>
        <row r="137">
          <cell r="Q137" t="str">
            <v>MLI</v>
          </cell>
          <cell r="R137" t="str">
            <v>Mali</v>
          </cell>
        </row>
        <row r="138">
          <cell r="Q138" t="str">
            <v>MLT</v>
          </cell>
          <cell r="R138" t="str">
            <v>Malta</v>
          </cell>
        </row>
        <row r="139">
          <cell r="Q139" t="str">
            <v>MHL</v>
          </cell>
          <cell r="R139" t="str">
            <v>Marshall Islands (the)</v>
          </cell>
        </row>
        <row r="140">
          <cell r="Q140" t="str">
            <v>MTQ</v>
          </cell>
          <cell r="R140" t="str">
            <v>Martinique</v>
          </cell>
        </row>
        <row r="141">
          <cell r="Q141" t="str">
            <v>MRT</v>
          </cell>
          <cell r="R141" t="str">
            <v>Mauritania</v>
          </cell>
        </row>
        <row r="142">
          <cell r="Q142" t="str">
            <v>MUS</v>
          </cell>
          <cell r="R142" t="str">
            <v>Mauritius</v>
          </cell>
        </row>
        <row r="143">
          <cell r="Q143" t="str">
            <v>MYT</v>
          </cell>
          <cell r="R143" t="str">
            <v>Mayotte</v>
          </cell>
        </row>
        <row r="144">
          <cell r="Q144" t="str">
            <v>MEX</v>
          </cell>
          <cell r="R144" t="str">
            <v>Mexico</v>
          </cell>
        </row>
        <row r="145">
          <cell r="Q145" t="str">
            <v>FSM</v>
          </cell>
          <cell r="R145" t="str">
            <v>Micronesia (Federated States of)</v>
          </cell>
        </row>
        <row r="146">
          <cell r="Q146" t="str">
            <v>MDA</v>
          </cell>
          <cell r="R146" t="str">
            <v>Moldova</v>
          </cell>
        </row>
        <row r="147">
          <cell r="Q147" t="str">
            <v>MCO</v>
          </cell>
          <cell r="R147" t="str">
            <v>Monaco</v>
          </cell>
        </row>
        <row r="148">
          <cell r="Q148" t="str">
            <v>MNG</v>
          </cell>
          <cell r="R148" t="str">
            <v>Mongolia</v>
          </cell>
        </row>
        <row r="149">
          <cell r="Q149" t="str">
            <v>MNE</v>
          </cell>
          <cell r="R149" t="str">
            <v>Montenegro</v>
          </cell>
        </row>
        <row r="150">
          <cell r="Q150" t="str">
            <v>MSR</v>
          </cell>
          <cell r="R150" t="str">
            <v>Montserrat</v>
          </cell>
        </row>
        <row r="151">
          <cell r="Q151" t="str">
            <v>MAR</v>
          </cell>
          <cell r="R151" t="str">
            <v>Morocco</v>
          </cell>
        </row>
        <row r="152">
          <cell r="Q152" t="str">
            <v>MOZ</v>
          </cell>
          <cell r="R152" t="str">
            <v>Mozambique</v>
          </cell>
        </row>
        <row r="153">
          <cell r="Q153" t="str">
            <v>MMR</v>
          </cell>
          <cell r="R153" t="str">
            <v>Myanmar</v>
          </cell>
        </row>
        <row r="154">
          <cell r="Q154" t="str">
            <v>NAM</v>
          </cell>
          <cell r="R154" t="str">
            <v>Namibia</v>
          </cell>
        </row>
        <row r="155">
          <cell r="Q155" t="str">
            <v>NRU</v>
          </cell>
          <cell r="R155" t="str">
            <v>Nauru</v>
          </cell>
        </row>
        <row r="156">
          <cell r="Q156" t="str">
            <v>NPL</v>
          </cell>
          <cell r="R156" t="str">
            <v>Nepal</v>
          </cell>
        </row>
        <row r="157">
          <cell r="Q157" t="str">
            <v>NLD</v>
          </cell>
          <cell r="R157" t="str">
            <v>Netherlands (the)</v>
          </cell>
        </row>
        <row r="158">
          <cell r="Q158" t="str">
            <v>NCL</v>
          </cell>
          <cell r="R158" t="str">
            <v>New Caledonia</v>
          </cell>
        </row>
        <row r="159">
          <cell r="Q159" t="str">
            <v>NZL</v>
          </cell>
          <cell r="R159" t="str">
            <v>New Zealand</v>
          </cell>
        </row>
        <row r="160">
          <cell r="Q160" t="str">
            <v>NIC</v>
          </cell>
          <cell r="R160" t="str">
            <v>Nicaragua</v>
          </cell>
        </row>
        <row r="161">
          <cell r="Q161" t="str">
            <v>NER</v>
          </cell>
          <cell r="R161" t="str">
            <v>Niger</v>
          </cell>
        </row>
        <row r="162">
          <cell r="Q162" t="str">
            <v>NGA</v>
          </cell>
          <cell r="R162" t="str">
            <v>Nigeria</v>
          </cell>
        </row>
        <row r="163">
          <cell r="Q163" t="str">
            <v>NIU</v>
          </cell>
          <cell r="R163" t="str">
            <v>Niue</v>
          </cell>
        </row>
        <row r="164">
          <cell r="Q164" t="str">
            <v>NFK</v>
          </cell>
          <cell r="R164" t="str">
            <v>Norfolk Island</v>
          </cell>
        </row>
        <row r="165">
          <cell r="Q165" t="str">
            <v>MNP</v>
          </cell>
          <cell r="R165" t="str">
            <v>Northern Mariana Islands (the)</v>
          </cell>
        </row>
        <row r="166">
          <cell r="Q166" t="str">
            <v>NOR</v>
          </cell>
          <cell r="R166" t="str">
            <v>Norway</v>
          </cell>
        </row>
        <row r="167">
          <cell r="Q167" t="str">
            <v>OMN</v>
          </cell>
          <cell r="R167" t="str">
            <v>Oman</v>
          </cell>
        </row>
        <row r="168">
          <cell r="Q168" t="str">
            <v>PAK</v>
          </cell>
          <cell r="R168" t="str">
            <v>Pakistan</v>
          </cell>
        </row>
        <row r="169">
          <cell r="Q169" t="str">
            <v>PLW</v>
          </cell>
          <cell r="R169" t="str">
            <v>Palau</v>
          </cell>
        </row>
        <row r="170">
          <cell r="Q170" t="str">
            <v>PSE</v>
          </cell>
          <cell r="R170" t="str">
            <v>Palestine, State of</v>
          </cell>
        </row>
        <row r="171">
          <cell r="Q171" t="str">
            <v>PAN</v>
          </cell>
          <cell r="R171" t="str">
            <v>Panama</v>
          </cell>
        </row>
        <row r="172">
          <cell r="Q172" t="str">
            <v>PNG</v>
          </cell>
          <cell r="R172" t="str">
            <v>Papua New Guinea</v>
          </cell>
        </row>
        <row r="173">
          <cell r="Q173" t="str">
            <v>PRY</v>
          </cell>
          <cell r="R173" t="str">
            <v>Paraguay</v>
          </cell>
        </row>
        <row r="174">
          <cell r="Q174" t="str">
            <v>PER</v>
          </cell>
          <cell r="R174" t="str">
            <v>Peru</v>
          </cell>
        </row>
        <row r="175">
          <cell r="Q175" t="str">
            <v>PHL</v>
          </cell>
          <cell r="R175" t="str">
            <v>Philippines</v>
          </cell>
        </row>
        <row r="176">
          <cell r="Q176" t="str">
            <v>PCN</v>
          </cell>
          <cell r="R176" t="str">
            <v>Pitcairn</v>
          </cell>
        </row>
        <row r="177">
          <cell r="Q177" t="str">
            <v>POL</v>
          </cell>
          <cell r="R177" t="str">
            <v>Poland</v>
          </cell>
        </row>
        <row r="178">
          <cell r="Q178" t="str">
            <v>PRT</v>
          </cell>
          <cell r="R178" t="str">
            <v>Portugal</v>
          </cell>
        </row>
        <row r="179">
          <cell r="Q179" t="str">
            <v>PRI</v>
          </cell>
          <cell r="R179" t="str">
            <v>Puerto Rico</v>
          </cell>
        </row>
        <row r="180">
          <cell r="Q180" t="str">
            <v>QAT</v>
          </cell>
          <cell r="R180" t="str">
            <v>Qatar</v>
          </cell>
        </row>
        <row r="181">
          <cell r="Q181" t="str">
            <v>MKD</v>
          </cell>
          <cell r="R181" t="str">
            <v>North Macedonia</v>
          </cell>
        </row>
        <row r="182">
          <cell r="Q182" t="str">
            <v>ROU</v>
          </cell>
          <cell r="R182" t="str">
            <v>Romania</v>
          </cell>
        </row>
        <row r="183">
          <cell r="Q183" t="str">
            <v>RUS</v>
          </cell>
          <cell r="R183" t="str">
            <v>Russian Federation (the)</v>
          </cell>
        </row>
        <row r="184">
          <cell r="Q184" t="str">
            <v>RWA</v>
          </cell>
          <cell r="R184" t="str">
            <v>Rwanda</v>
          </cell>
        </row>
        <row r="185">
          <cell r="Q185" t="str">
            <v>REU</v>
          </cell>
          <cell r="R185" t="str">
            <v>Réunion</v>
          </cell>
        </row>
        <row r="186">
          <cell r="Q186" t="str">
            <v>BLM</v>
          </cell>
          <cell r="R186" t="str">
            <v>Saint Barthélemy</v>
          </cell>
        </row>
        <row r="187">
          <cell r="Q187" t="str">
            <v>SHN</v>
          </cell>
          <cell r="R187" t="str">
            <v>Saint Helena, Ascension and Tristan da Cunha</v>
          </cell>
        </row>
        <row r="188">
          <cell r="Q188" t="str">
            <v>KNA</v>
          </cell>
          <cell r="R188" t="str">
            <v>Saint Kitts and Nevis</v>
          </cell>
        </row>
        <row r="189">
          <cell r="Q189" t="str">
            <v>LCA</v>
          </cell>
          <cell r="R189" t="str">
            <v>Saint Lucia</v>
          </cell>
        </row>
        <row r="190">
          <cell r="Q190" t="str">
            <v>MAF</v>
          </cell>
          <cell r="R190" t="str">
            <v>Saint Martin (French part)</v>
          </cell>
        </row>
        <row r="191">
          <cell r="Q191" t="str">
            <v>SPM</v>
          </cell>
          <cell r="R191" t="str">
            <v>Saint Pierre and Miquelon</v>
          </cell>
        </row>
        <row r="192">
          <cell r="Q192" t="str">
            <v>VCT</v>
          </cell>
          <cell r="R192" t="str">
            <v>Saint Vincent and the Grenadines</v>
          </cell>
        </row>
        <row r="193">
          <cell r="Q193" t="str">
            <v>WSM</v>
          </cell>
          <cell r="R193" t="str">
            <v>Samoa</v>
          </cell>
        </row>
        <row r="194">
          <cell r="Q194" t="str">
            <v>SMR</v>
          </cell>
          <cell r="R194" t="str">
            <v>San Marino</v>
          </cell>
        </row>
        <row r="195">
          <cell r="Q195" t="str">
            <v>STP</v>
          </cell>
          <cell r="R195" t="str">
            <v>Sao Tome and Principe</v>
          </cell>
        </row>
        <row r="196">
          <cell r="Q196" t="str">
            <v>SAU</v>
          </cell>
          <cell r="R196" t="str">
            <v>Saudi Arabia</v>
          </cell>
        </row>
        <row r="197">
          <cell r="Q197" t="str">
            <v>SEN</v>
          </cell>
          <cell r="R197" t="str">
            <v>Senegal</v>
          </cell>
        </row>
        <row r="198">
          <cell r="Q198" t="str">
            <v>SRB</v>
          </cell>
          <cell r="R198" t="str">
            <v>Serbia</v>
          </cell>
        </row>
        <row r="199">
          <cell r="Q199" t="str">
            <v>SYC</v>
          </cell>
          <cell r="R199" t="str">
            <v>Seychelles</v>
          </cell>
        </row>
        <row r="200">
          <cell r="Q200" t="str">
            <v>SLE</v>
          </cell>
          <cell r="R200" t="str">
            <v>Sierra Leone</v>
          </cell>
        </row>
        <row r="201">
          <cell r="Q201" t="str">
            <v>SGP</v>
          </cell>
          <cell r="R201" t="str">
            <v>Singapore</v>
          </cell>
        </row>
        <row r="202">
          <cell r="Q202" t="str">
            <v>SXM</v>
          </cell>
          <cell r="R202" t="str">
            <v>Sint Maarten (Dutch part)</v>
          </cell>
        </row>
        <row r="203">
          <cell r="Q203" t="str">
            <v>SVK</v>
          </cell>
          <cell r="R203" t="str">
            <v>Slovakia</v>
          </cell>
        </row>
        <row r="204">
          <cell r="Q204" t="str">
            <v>SVN</v>
          </cell>
          <cell r="R204" t="str">
            <v>Slovenia</v>
          </cell>
        </row>
        <row r="205">
          <cell r="Q205" t="str">
            <v>SLB</v>
          </cell>
          <cell r="R205" t="str">
            <v>Solomon Islands</v>
          </cell>
        </row>
        <row r="206">
          <cell r="Q206" t="str">
            <v>SOM</v>
          </cell>
          <cell r="R206" t="str">
            <v>Somalia</v>
          </cell>
        </row>
        <row r="207">
          <cell r="Q207" t="str">
            <v>ZAF</v>
          </cell>
          <cell r="R207" t="str">
            <v>South Africa</v>
          </cell>
        </row>
        <row r="208">
          <cell r="Q208" t="str">
            <v>SGS</v>
          </cell>
          <cell r="R208" t="str">
            <v>South Georgia and the South Sandwich Islands</v>
          </cell>
        </row>
        <row r="209">
          <cell r="Q209" t="str">
            <v>SSD</v>
          </cell>
          <cell r="R209" t="str">
            <v>South Sudan</v>
          </cell>
        </row>
        <row r="210">
          <cell r="Q210" t="str">
            <v>ESP</v>
          </cell>
          <cell r="R210" t="str">
            <v>Spain</v>
          </cell>
        </row>
        <row r="211">
          <cell r="Q211" t="str">
            <v>LKA</v>
          </cell>
          <cell r="R211" t="str">
            <v>Sri Lanka</v>
          </cell>
        </row>
        <row r="212">
          <cell r="Q212" t="str">
            <v>SDN</v>
          </cell>
          <cell r="R212" t="str">
            <v>Sudan</v>
          </cell>
        </row>
        <row r="213">
          <cell r="Q213" t="str">
            <v>SUR</v>
          </cell>
          <cell r="R213" t="str">
            <v>Suriname</v>
          </cell>
        </row>
        <row r="214">
          <cell r="Q214" t="str">
            <v>SJM</v>
          </cell>
          <cell r="R214" t="str">
            <v>Svalbard and Jan Mayen</v>
          </cell>
        </row>
        <row r="215">
          <cell r="Q215" t="str">
            <v>SWE</v>
          </cell>
          <cell r="R215" t="str">
            <v>Sweden</v>
          </cell>
        </row>
        <row r="216">
          <cell r="Q216" t="str">
            <v>CHE</v>
          </cell>
          <cell r="R216" t="str">
            <v>Switzerland</v>
          </cell>
        </row>
        <row r="217">
          <cell r="Q217" t="str">
            <v>SYR</v>
          </cell>
          <cell r="R217" t="str">
            <v>Syrian Arab Republic</v>
          </cell>
        </row>
        <row r="218">
          <cell r="Q218" t="str">
            <v>TWN</v>
          </cell>
          <cell r="R218" t="str">
            <v>Taiwan</v>
          </cell>
        </row>
        <row r="219">
          <cell r="Q219" t="str">
            <v>TON</v>
          </cell>
          <cell r="R219" t="str">
            <v>Tonga</v>
          </cell>
        </row>
        <row r="220">
          <cell r="Q220" t="str">
            <v>TTO</v>
          </cell>
          <cell r="R220" t="str">
            <v>Trinidad and Tobago</v>
          </cell>
        </row>
        <row r="221">
          <cell r="Q221" t="str">
            <v>TUN</v>
          </cell>
          <cell r="R221" t="str">
            <v>Tunisia</v>
          </cell>
        </row>
        <row r="222">
          <cell r="Q222" t="str">
            <v>TUR</v>
          </cell>
          <cell r="R222" t="str">
            <v>Turkey</v>
          </cell>
        </row>
        <row r="223">
          <cell r="Q223" t="str">
            <v>TKM</v>
          </cell>
          <cell r="R223" t="str">
            <v>Turkmenistan</v>
          </cell>
        </row>
        <row r="224">
          <cell r="Q224" t="str">
            <v>TCA</v>
          </cell>
          <cell r="R224" t="str">
            <v>Turks and Caicos Islands</v>
          </cell>
        </row>
        <row r="225">
          <cell r="Q225" t="str">
            <v>TUV</v>
          </cell>
          <cell r="R225" t="str">
            <v>Tuvalu</v>
          </cell>
        </row>
        <row r="226">
          <cell r="Q226" t="str">
            <v>UGA</v>
          </cell>
          <cell r="R226" t="str">
            <v>Uganda</v>
          </cell>
        </row>
        <row r="227">
          <cell r="Q227" t="str">
            <v>UKR</v>
          </cell>
          <cell r="R227" t="str">
            <v>Ukraine</v>
          </cell>
        </row>
        <row r="228">
          <cell r="Q228" t="str">
            <v>ARE</v>
          </cell>
          <cell r="R228" t="str">
            <v>United Arab Emirates</v>
          </cell>
        </row>
        <row r="229">
          <cell r="Q229" t="str">
            <v>GBR</v>
          </cell>
          <cell r="R229" t="str">
            <v>United Kingdom of Great Britain and Northern Ireland (the)</v>
          </cell>
        </row>
        <row r="230">
          <cell r="Q230" t="str">
            <v>UMI</v>
          </cell>
          <cell r="R230" t="str">
            <v>United States Minor Outlying Islands (the)</v>
          </cell>
        </row>
        <row r="231">
          <cell r="Q231" t="str">
            <v>USA</v>
          </cell>
          <cell r="R231" t="str">
            <v>United States of America (the)</v>
          </cell>
        </row>
        <row r="232">
          <cell r="Q232" t="str">
            <v>URY</v>
          </cell>
          <cell r="R232" t="str">
            <v>Uruguay</v>
          </cell>
        </row>
        <row r="233">
          <cell r="Q233" t="str">
            <v>UZB</v>
          </cell>
          <cell r="R233" t="str">
            <v>Uzbekistan</v>
          </cell>
        </row>
        <row r="234">
          <cell r="Q234" t="str">
            <v>VUT</v>
          </cell>
          <cell r="R234" t="str">
            <v>Vanuatu</v>
          </cell>
        </row>
        <row r="235">
          <cell r="Q235" t="str">
            <v>VEN</v>
          </cell>
          <cell r="R235" t="str">
            <v>Venezuela</v>
          </cell>
        </row>
        <row r="236">
          <cell r="Q236" t="str">
            <v>VNM</v>
          </cell>
          <cell r="R236" t="str">
            <v>Viet Nam</v>
          </cell>
        </row>
        <row r="237">
          <cell r="Q237" t="str">
            <v>VGB</v>
          </cell>
          <cell r="R237" t="str">
            <v>Virgin Islands (British)</v>
          </cell>
        </row>
        <row r="238">
          <cell r="Q238" t="str">
            <v>VIR</v>
          </cell>
          <cell r="R238" t="str">
            <v>Virgin Islands (U.S.)</v>
          </cell>
        </row>
        <row r="239">
          <cell r="Q239" t="str">
            <v>WLF</v>
          </cell>
          <cell r="R239" t="str">
            <v>Wallis and Futuna</v>
          </cell>
        </row>
        <row r="240">
          <cell r="Q240" t="str">
            <v>ESH</v>
          </cell>
          <cell r="R240" t="str">
            <v>Western Sahara</v>
          </cell>
        </row>
        <row r="241">
          <cell r="Q241" t="str">
            <v>YEM</v>
          </cell>
          <cell r="R241" t="str">
            <v>Yemen</v>
          </cell>
        </row>
        <row r="242">
          <cell r="Q242" t="str">
            <v>ZMB</v>
          </cell>
          <cell r="R242" t="str">
            <v>Zambia</v>
          </cell>
        </row>
        <row r="243">
          <cell r="Q243" t="str">
            <v>ZWE</v>
          </cell>
          <cell r="R243" t="str">
            <v>Zimbabwe</v>
          </cell>
        </row>
        <row r="244">
          <cell r="Q244" t="str">
            <v>ALA</v>
          </cell>
          <cell r="R244" t="str">
            <v>Åland Islands</v>
          </cell>
        </row>
      </sheetData>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DE4b"/>
    </sheetNames>
    <sheetDataSet>
      <sheetData sheetId="0"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crek.be/fr/publication/echange-automatique-de-donnees-fiscales-au-nive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nta.go.jp/information/release/"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F9AA2-42CB-4439-B8BF-81BBE6843BCF}">
  <dimension ref="A1:J19"/>
  <sheetViews>
    <sheetView showGridLines="0" view="pageLayout" zoomScale="80" zoomScaleNormal="110" zoomScalePageLayoutView="80" workbookViewId="0">
      <selection activeCell="B9" sqref="B9:H10"/>
    </sheetView>
  </sheetViews>
  <sheetFormatPr baseColWidth="10" defaultColWidth="10.88671875" defaultRowHeight="14.4" x14ac:dyDescent="0.3"/>
  <cols>
    <col min="1" max="1" width="7.109375" customWidth="1"/>
    <col min="3" max="3" width="16.33203125" customWidth="1"/>
    <col min="5" max="5" width="45.21875" customWidth="1"/>
    <col min="6" max="6" width="10.33203125" customWidth="1"/>
    <col min="7" max="7" width="12.44140625" customWidth="1"/>
  </cols>
  <sheetData>
    <row r="1" spans="1:10" s="12" customFormat="1" ht="30" customHeight="1" x14ac:dyDescent="0.3">
      <c r="A1" s="15" t="s">
        <v>0</v>
      </c>
      <c r="B1" s="15" t="s">
        <v>1</v>
      </c>
      <c r="C1" s="15" t="s">
        <v>259</v>
      </c>
      <c r="E1" s="10"/>
      <c r="F1" s="15" t="s">
        <v>5</v>
      </c>
      <c r="G1" s="15" t="s">
        <v>2</v>
      </c>
      <c r="H1" s="15" t="s">
        <v>3</v>
      </c>
    </row>
    <row r="2" spans="1:10" x14ac:dyDescent="0.3">
      <c r="A2" s="17">
        <v>2016</v>
      </c>
      <c r="B2" s="17"/>
      <c r="C2" s="105">
        <f>90.8/xrates!C1459</f>
        <v>95.71227961140815</v>
      </c>
      <c r="E2" s="14" t="s">
        <v>4</v>
      </c>
      <c r="F2" s="16">
        <v>0.96</v>
      </c>
      <c r="G2" s="16">
        <v>0.02</v>
      </c>
      <c r="H2" s="16">
        <v>0.02</v>
      </c>
    </row>
    <row r="3" spans="1:10" x14ac:dyDescent="0.3">
      <c r="A3" s="17">
        <v>2017</v>
      </c>
      <c r="B3" s="21">
        <v>521879</v>
      </c>
      <c r="C3" s="105">
        <f>173.8/xrates!C1460</f>
        <v>208.43833954372849</v>
      </c>
      <c r="E3" s="14" t="s">
        <v>6</v>
      </c>
      <c r="F3" s="16">
        <v>0.9</v>
      </c>
      <c r="G3" s="16">
        <v>0.5</v>
      </c>
      <c r="H3" s="16"/>
    </row>
    <row r="4" spans="1:10" x14ac:dyDescent="0.3">
      <c r="A4" s="17">
        <v>2018</v>
      </c>
      <c r="B4" s="21">
        <v>1404238</v>
      </c>
      <c r="C4" s="105">
        <f>161.8/xrates!C1461</f>
        <v>185.26099902737977</v>
      </c>
      <c r="E4" s="14" t="s">
        <v>29</v>
      </c>
      <c r="F4" s="16">
        <v>0.04</v>
      </c>
      <c r="G4" s="16">
        <v>0.28000000000000003</v>
      </c>
      <c r="H4" s="17" t="s">
        <v>7</v>
      </c>
    </row>
    <row r="5" spans="1:10" x14ac:dyDescent="0.3">
      <c r="A5" s="17">
        <v>2019</v>
      </c>
      <c r="B5" s="21">
        <v>1599670</v>
      </c>
      <c r="C5" s="17"/>
    </row>
    <row r="7" spans="1:10" x14ac:dyDescent="0.3">
      <c r="D7" s="2"/>
      <c r="E7" s="2"/>
      <c r="F7" s="2"/>
      <c r="G7" s="2"/>
      <c r="I7" s="2"/>
      <c r="J7" s="2"/>
    </row>
    <row r="8" spans="1:10" ht="44.4" customHeight="1" x14ac:dyDescent="0.3">
      <c r="A8" s="1" t="s">
        <v>42</v>
      </c>
      <c r="B8" s="160" t="s">
        <v>33</v>
      </c>
      <c r="C8" s="160"/>
      <c r="D8" s="160"/>
      <c r="E8" s="160"/>
      <c r="F8" s="160"/>
      <c r="G8" s="160"/>
      <c r="H8" s="160"/>
      <c r="I8" s="2"/>
      <c r="J8" s="2"/>
    </row>
    <row r="9" spans="1:10" ht="44.4" customHeight="1" x14ac:dyDescent="0.3">
      <c r="A9" s="1"/>
      <c r="B9" s="81"/>
      <c r="C9" s="81"/>
      <c r="D9" s="81"/>
      <c r="E9" s="81"/>
      <c r="F9" s="81"/>
      <c r="G9" s="81"/>
      <c r="H9" s="81"/>
      <c r="I9" s="2"/>
      <c r="J9" s="2"/>
    </row>
    <row r="10" spans="1:10" ht="44.4" customHeight="1" x14ac:dyDescent="0.3">
      <c r="A10" s="1"/>
      <c r="B10" s="89"/>
      <c r="C10" s="81"/>
      <c r="D10" s="81"/>
      <c r="E10" s="81"/>
      <c r="F10" s="81"/>
      <c r="G10" s="81"/>
      <c r="H10" s="81"/>
      <c r="I10" s="2"/>
      <c r="J10" s="2"/>
    </row>
    <row r="11" spans="1:10" x14ac:dyDescent="0.3">
      <c r="E11" s="2"/>
      <c r="F11" s="2"/>
      <c r="G11" s="2"/>
      <c r="I11" s="2"/>
      <c r="J11" s="2"/>
    </row>
    <row r="12" spans="1:10" ht="23.4" x14ac:dyDescent="0.45">
      <c r="E12" s="90" t="s">
        <v>269</v>
      </c>
      <c r="F12" s="2"/>
      <c r="G12" s="2"/>
      <c r="I12" s="2"/>
      <c r="J12" s="2"/>
    </row>
    <row r="13" spans="1:10" x14ac:dyDescent="0.3">
      <c r="E13" s="2"/>
      <c r="F13" s="2"/>
      <c r="G13" s="2"/>
      <c r="I13" s="2"/>
      <c r="J13" s="2"/>
    </row>
    <row r="14" spans="1:10" x14ac:dyDescent="0.3">
      <c r="E14" s="2"/>
      <c r="F14" s="2"/>
      <c r="G14" s="2"/>
      <c r="I14" s="2"/>
      <c r="J14" s="2"/>
    </row>
    <row r="15" spans="1:10" ht="28.8" x14ac:dyDescent="0.3">
      <c r="A15" s="15" t="s">
        <v>0</v>
      </c>
      <c r="B15" s="15" t="s">
        <v>25</v>
      </c>
      <c r="C15" s="15" t="s">
        <v>259</v>
      </c>
      <c r="D15" s="8"/>
      <c r="E15" s="2"/>
      <c r="F15" s="2"/>
      <c r="G15" s="2"/>
      <c r="I15" s="2"/>
      <c r="J15" s="2"/>
    </row>
    <row r="16" spans="1:10" x14ac:dyDescent="0.3">
      <c r="A16" s="18">
        <v>2023</v>
      </c>
      <c r="B16" s="21">
        <v>1364878</v>
      </c>
      <c r="C16" s="143">
        <f>142079453757/1000000000/xrates!C4414</f>
        <v>156.99779563219582</v>
      </c>
      <c r="I16" s="2"/>
    </row>
    <row r="17" spans="1:9" x14ac:dyDescent="0.3">
      <c r="A17" s="92"/>
      <c r="B17" s="93"/>
      <c r="C17" s="94"/>
      <c r="I17" s="2"/>
    </row>
    <row r="19" spans="1:9" x14ac:dyDescent="0.3">
      <c r="A19" s="11" t="s">
        <v>42</v>
      </c>
      <c r="B19" s="49" t="s">
        <v>43</v>
      </c>
    </row>
  </sheetData>
  <mergeCells count="1">
    <mergeCell ref="B8:H8"/>
  </mergeCells>
  <hyperlinks>
    <hyperlink ref="B8" r:id="rId1" display="https://www.ccrek.be/fr/publication/echange-automatique-de-donnees-fiscales-au-niveau" xr:uid="{7C74583E-6C3C-4017-8D3F-E472BEC609C0}"/>
  </hyperlinks>
  <pageMargins left="0.7" right="0.7" top="0.75" bottom="0.75" header="0.3" footer="0.3"/>
  <pageSetup paperSize="9" orientation="landscape" r:id="rId2"/>
  <headerFooter>
    <oddHeader>&amp;C&amp;"-,Gras"&amp;18(BEL) Belgium</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8218B-0196-47C9-961E-8203D698079A}">
  <dimension ref="A1:H26"/>
  <sheetViews>
    <sheetView showGridLines="0" view="pageLayout" zoomScale="80" zoomScaleNormal="100" zoomScalePageLayoutView="80" workbookViewId="0">
      <selection activeCell="B9" sqref="B9:H10"/>
    </sheetView>
  </sheetViews>
  <sheetFormatPr baseColWidth="10" defaultColWidth="10.88671875" defaultRowHeight="14.4" x14ac:dyDescent="0.3"/>
  <cols>
    <col min="2" max="5" width="23.33203125" customWidth="1"/>
    <col min="6" max="6" width="7.77734375" customWidth="1"/>
    <col min="7" max="7" width="10.33203125" customWidth="1"/>
    <col min="8" max="8" width="5.77734375" customWidth="1"/>
  </cols>
  <sheetData>
    <row r="1" spans="1:6" s="9" customFormat="1" ht="14.4" customHeight="1" x14ac:dyDescent="0.3">
      <c r="A1" s="15" t="s">
        <v>0</v>
      </c>
      <c r="B1" s="15" t="s">
        <v>25</v>
      </c>
      <c r="C1" s="15" t="s">
        <v>259</v>
      </c>
    </row>
    <row r="2" spans="1:6" x14ac:dyDescent="0.3">
      <c r="A2" s="18">
        <v>2016</v>
      </c>
      <c r="B2" s="29">
        <v>341287</v>
      </c>
      <c r="C2" s="20">
        <f>33.69290883/xrates!C1459</f>
        <v>35.515695053509276</v>
      </c>
    </row>
    <row r="3" spans="1:6" x14ac:dyDescent="0.3">
      <c r="A3" s="18">
        <v>2017</v>
      </c>
      <c r="B3" s="29">
        <v>1100701</v>
      </c>
      <c r="C3" s="20">
        <f>89.281981375/xrates!C1460</f>
        <v>107.0758800286484</v>
      </c>
    </row>
    <row r="4" spans="1:6" x14ac:dyDescent="0.3">
      <c r="A4" s="18">
        <v>2018</v>
      </c>
      <c r="B4" s="29">
        <v>1330599</v>
      </c>
      <c r="C4" s="20">
        <f>118.930104519/xrates!C1461</f>
        <v>136.17496895933641</v>
      </c>
    </row>
    <row r="5" spans="1:6" x14ac:dyDescent="0.3">
      <c r="A5" s="18">
        <v>2019</v>
      </c>
      <c r="B5" s="29">
        <v>1470921</v>
      </c>
      <c r="C5" s="20">
        <f>108.096277163/xrates!C1462</f>
        <v>121.43535734887666</v>
      </c>
    </row>
    <row r="6" spans="1:6" x14ac:dyDescent="0.3">
      <c r="A6" s="18">
        <v>2020</v>
      </c>
      <c r="B6" s="29">
        <v>1620126</v>
      </c>
      <c r="C6" s="20">
        <f>115.413832373/xrates!C1463</f>
        <v>141.62431346117285</v>
      </c>
    </row>
    <row r="7" spans="1:6" x14ac:dyDescent="0.3">
      <c r="A7" s="18">
        <v>2021</v>
      </c>
      <c r="B7" s="29">
        <v>1756594</v>
      </c>
      <c r="C7" s="20">
        <f>140.693708186/xrates!C1464</f>
        <v>159.34969300707283</v>
      </c>
    </row>
    <row r="8" spans="1:6" x14ac:dyDescent="0.3">
      <c r="A8" s="18">
        <v>2022</v>
      </c>
      <c r="B8" s="29">
        <v>2026067</v>
      </c>
      <c r="C8" s="20">
        <f>124.091464568/xrates!C1465</f>
        <v>132.35595574292637</v>
      </c>
    </row>
    <row r="9" spans="1:6" x14ac:dyDescent="0.3">
      <c r="A9" s="150">
        <v>2023</v>
      </c>
      <c r="B9" s="151">
        <v>2380291</v>
      </c>
      <c r="C9" s="143">
        <f>141.178964461/xrates!C4414</f>
        <v>156.00275496499148</v>
      </c>
    </row>
    <row r="12" spans="1:6" x14ac:dyDescent="0.3">
      <c r="A12" t="s">
        <v>42</v>
      </c>
      <c r="B12" t="s">
        <v>53</v>
      </c>
      <c r="F12" s="3"/>
    </row>
    <row r="13" spans="1:6" x14ac:dyDescent="0.3">
      <c r="F13" s="3"/>
    </row>
    <row r="14" spans="1:6" x14ac:dyDescent="0.3">
      <c r="F14" s="3"/>
    </row>
    <row r="15" spans="1:6" x14ac:dyDescent="0.3">
      <c r="F15" s="3"/>
    </row>
    <row r="16" spans="1:6" x14ac:dyDescent="0.3">
      <c r="F16" s="3"/>
    </row>
    <row r="17" spans="1:8" ht="23.4" x14ac:dyDescent="0.3">
      <c r="A17" s="8"/>
      <c r="B17" s="9"/>
      <c r="C17" s="9"/>
      <c r="D17" s="203" t="s">
        <v>274</v>
      </c>
      <c r="E17" s="203"/>
      <c r="F17" s="203"/>
      <c r="G17" s="9"/>
    </row>
    <row r="18" spans="1:8" x14ac:dyDescent="0.3">
      <c r="C18" s="3"/>
      <c r="D18" s="3"/>
      <c r="E18" s="3"/>
      <c r="F18" s="3"/>
      <c r="G18" s="3"/>
    </row>
    <row r="19" spans="1:8" x14ac:dyDescent="0.3">
      <c r="C19" s="3"/>
      <c r="D19" s="3"/>
      <c r="E19" s="3"/>
      <c r="F19" s="3"/>
      <c r="G19" s="3"/>
    </row>
    <row r="20" spans="1:8" ht="14.4" customHeight="1" x14ac:dyDescent="0.3">
      <c r="A20" s="106" t="s">
        <v>0</v>
      </c>
      <c r="B20" s="168" t="s">
        <v>1</v>
      </c>
      <c r="C20" s="172"/>
      <c r="D20" s="168" t="s">
        <v>261</v>
      </c>
      <c r="E20" s="172"/>
      <c r="F20" s="156"/>
      <c r="G20" s="156"/>
    </row>
    <row r="21" spans="1:8" x14ac:dyDescent="0.3">
      <c r="A21" s="107"/>
      <c r="B21" s="157" t="s">
        <v>11</v>
      </c>
      <c r="C21" s="158" t="s">
        <v>5</v>
      </c>
      <c r="D21" s="157" t="s">
        <v>11</v>
      </c>
      <c r="E21" s="158" t="s">
        <v>5</v>
      </c>
      <c r="F21" s="204"/>
      <c r="G21" s="204"/>
    </row>
    <row r="22" spans="1:8" x14ac:dyDescent="0.3">
      <c r="A22" s="109">
        <v>2018</v>
      </c>
      <c r="B22" s="28">
        <v>585000</v>
      </c>
      <c r="C22" s="38">
        <v>575000</v>
      </c>
      <c r="D22" s="28">
        <f>1260/xrates!C3617</f>
        <v>87.64207144957274</v>
      </c>
      <c r="E22" s="38">
        <f>1060/xrates!C3617</f>
        <v>73.730631536942141</v>
      </c>
      <c r="F22" s="154"/>
      <c r="G22" s="154"/>
    </row>
    <row r="23" spans="1:8" x14ac:dyDescent="0.3">
      <c r="A23" s="156"/>
      <c r="B23" s="156"/>
      <c r="C23" s="156"/>
      <c r="D23" s="156"/>
    </row>
    <row r="24" spans="1:8" x14ac:dyDescent="0.3">
      <c r="B24" s="3"/>
      <c r="C24" s="3"/>
    </row>
    <row r="25" spans="1:8" ht="14.4" customHeight="1" x14ac:dyDescent="0.3">
      <c r="A25" s="88" t="s">
        <v>39</v>
      </c>
      <c r="B25" s="163" t="s">
        <v>268</v>
      </c>
      <c r="C25" s="163"/>
      <c r="D25" s="163"/>
      <c r="E25" s="163"/>
      <c r="F25" s="163"/>
      <c r="G25" s="163"/>
      <c r="H25" s="163"/>
    </row>
    <row r="26" spans="1:8" ht="33.6" customHeight="1" x14ac:dyDescent="0.3">
      <c r="A26" s="49" t="s">
        <v>42</v>
      </c>
      <c r="B26" s="163" t="s">
        <v>34</v>
      </c>
      <c r="C26" s="163"/>
      <c r="D26" s="163"/>
      <c r="E26" s="163"/>
      <c r="F26" s="163"/>
      <c r="G26" s="163"/>
      <c r="H26" s="163"/>
    </row>
  </sheetData>
  <mergeCells count="6">
    <mergeCell ref="D17:F17"/>
    <mergeCell ref="F21:G21"/>
    <mergeCell ref="B25:H25"/>
    <mergeCell ref="D20:E20"/>
    <mergeCell ref="B26:H26"/>
    <mergeCell ref="B20:C20"/>
  </mergeCells>
  <pageMargins left="0.7" right="0.7" top="0.75" bottom="0.75" header="0.3" footer="0.3"/>
  <pageSetup paperSize="9" orientation="landscape" r:id="rId1"/>
  <headerFooter>
    <oddHeader>&amp;C&amp;"-,Gras"&amp;18(SWE) Sweden</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03BFD-7CA3-426A-B712-145F2DF5D072}">
  <dimension ref="A1:C4416"/>
  <sheetViews>
    <sheetView workbookViewId="0">
      <selection activeCell="F9" sqref="F9"/>
    </sheetView>
  </sheetViews>
  <sheetFormatPr baseColWidth="10" defaultColWidth="11.88671875" defaultRowHeight="15.6" x14ac:dyDescent="0.3"/>
  <cols>
    <col min="1" max="16384" width="11.88671875" style="98"/>
  </cols>
  <sheetData>
    <row r="1" spans="1:3" ht="23.4" x14ac:dyDescent="0.45">
      <c r="A1" s="205" t="s">
        <v>275</v>
      </c>
    </row>
    <row r="2" spans="1:3" x14ac:dyDescent="0.3">
      <c r="A2" s="98" t="s">
        <v>42</v>
      </c>
      <c r="B2" s="98" t="s">
        <v>276</v>
      </c>
    </row>
    <row r="13" spans="1:3" x14ac:dyDescent="0.3">
      <c r="A13" s="98" t="s">
        <v>59</v>
      </c>
      <c r="B13" s="98" t="s">
        <v>60</v>
      </c>
      <c r="C13" s="98" t="s">
        <v>61</v>
      </c>
    </row>
    <row r="14" spans="1:3" x14ac:dyDescent="0.3">
      <c r="A14" s="98" t="s">
        <v>62</v>
      </c>
      <c r="B14" s="98">
        <v>2001</v>
      </c>
      <c r="C14" s="98">
        <v>47.258978999999997</v>
      </c>
    </row>
    <row r="15" spans="1:3" x14ac:dyDescent="0.3">
      <c r="A15" s="98" t="s">
        <v>62</v>
      </c>
      <c r="B15" s="98">
        <v>2002</v>
      </c>
      <c r="C15" s="98">
        <v>47.262999999999998</v>
      </c>
    </row>
    <row r="16" spans="1:3" x14ac:dyDescent="0.3">
      <c r="A16" s="98" t="s">
        <v>62</v>
      </c>
      <c r="B16" s="98">
        <v>2003</v>
      </c>
      <c r="C16" s="98">
        <v>48.865000000000002</v>
      </c>
    </row>
    <row r="17" spans="1:3" x14ac:dyDescent="0.3">
      <c r="A17" s="98" t="s">
        <v>62</v>
      </c>
      <c r="B17" s="98">
        <v>2004</v>
      </c>
      <c r="C17" s="98">
        <v>48.22</v>
      </c>
    </row>
    <row r="18" spans="1:3" x14ac:dyDescent="0.3">
      <c r="A18" s="98" t="s">
        <v>62</v>
      </c>
      <c r="B18" s="98">
        <v>2005</v>
      </c>
      <c r="C18" s="98">
        <v>50.41</v>
      </c>
    </row>
    <row r="19" spans="1:3" x14ac:dyDescent="0.3">
      <c r="A19" s="98" t="s">
        <v>62</v>
      </c>
      <c r="B19" s="98">
        <v>2006</v>
      </c>
      <c r="C19" s="98">
        <v>49.85</v>
      </c>
    </row>
    <row r="20" spans="1:3" x14ac:dyDescent="0.3">
      <c r="A20" s="98" t="s">
        <v>62</v>
      </c>
      <c r="B20" s="98">
        <v>2007</v>
      </c>
      <c r="C20" s="98">
        <v>49.72</v>
      </c>
    </row>
    <row r="21" spans="1:3" x14ac:dyDescent="0.3">
      <c r="A21" s="98" t="s">
        <v>62</v>
      </c>
      <c r="B21" s="98">
        <v>2008</v>
      </c>
      <c r="C21" s="98">
        <v>52.14</v>
      </c>
    </row>
    <row r="22" spans="1:3" x14ac:dyDescent="0.3">
      <c r="A22" s="98" t="s">
        <v>62</v>
      </c>
      <c r="B22" s="98">
        <v>2009</v>
      </c>
      <c r="C22" s="98">
        <v>48.74</v>
      </c>
    </row>
    <row r="23" spans="1:3" x14ac:dyDescent="0.3">
      <c r="A23" s="98" t="s">
        <v>62</v>
      </c>
      <c r="B23" s="98">
        <v>2010</v>
      </c>
      <c r="C23" s="98">
        <v>45.27</v>
      </c>
    </row>
    <row r="24" spans="1:3" x14ac:dyDescent="0.3">
      <c r="A24" s="98" t="s">
        <v>62</v>
      </c>
      <c r="B24" s="98">
        <v>2011</v>
      </c>
      <c r="C24" s="98">
        <v>49.04</v>
      </c>
    </row>
    <row r="25" spans="1:3" x14ac:dyDescent="0.3">
      <c r="A25" s="98" t="s">
        <v>62</v>
      </c>
      <c r="B25" s="98">
        <v>2012</v>
      </c>
      <c r="C25" s="98">
        <v>52.14</v>
      </c>
    </row>
    <row r="26" spans="1:3" x14ac:dyDescent="0.3">
      <c r="A26" s="98" t="s">
        <v>62</v>
      </c>
      <c r="B26" s="98">
        <v>2013</v>
      </c>
      <c r="C26" s="98">
        <v>56.64</v>
      </c>
    </row>
    <row r="27" spans="1:3" x14ac:dyDescent="0.3">
      <c r="A27" s="98" t="s">
        <v>62</v>
      </c>
      <c r="B27" s="98">
        <v>2014</v>
      </c>
      <c r="C27" s="98">
        <v>57.82</v>
      </c>
    </row>
    <row r="28" spans="1:3" x14ac:dyDescent="0.3">
      <c r="A28" s="98" t="s">
        <v>62</v>
      </c>
      <c r="B28" s="98">
        <v>2015</v>
      </c>
      <c r="C28" s="98">
        <v>68.05</v>
      </c>
    </row>
    <row r="29" spans="1:3" x14ac:dyDescent="0.3">
      <c r="A29" s="98" t="s">
        <v>62</v>
      </c>
      <c r="B29" s="98">
        <v>2016</v>
      </c>
      <c r="C29" s="98">
        <v>66.839399999999998</v>
      </c>
    </row>
    <row r="30" spans="1:3" x14ac:dyDescent="0.3">
      <c r="A30" s="98" t="s">
        <v>62</v>
      </c>
      <c r="B30" s="98">
        <v>2017</v>
      </c>
      <c r="C30" s="98">
        <v>69.493300000000005</v>
      </c>
    </row>
    <row r="31" spans="1:3" x14ac:dyDescent="0.3">
      <c r="A31" s="98" t="s">
        <v>62</v>
      </c>
      <c r="B31" s="98">
        <v>2018</v>
      </c>
      <c r="C31" s="98">
        <v>74.955600000000004</v>
      </c>
    </row>
    <row r="32" spans="1:3" x14ac:dyDescent="0.3">
      <c r="A32" s="98" t="s">
        <v>62</v>
      </c>
      <c r="B32" s="98">
        <v>2019</v>
      </c>
      <c r="C32" s="98">
        <v>78.408299999999997</v>
      </c>
    </row>
    <row r="33" spans="1:3" x14ac:dyDescent="0.3">
      <c r="A33" s="98" t="s">
        <v>62</v>
      </c>
      <c r="B33" s="98">
        <v>2020</v>
      </c>
      <c r="C33" s="98">
        <v>77.105000000000004</v>
      </c>
    </row>
    <row r="34" spans="1:3" x14ac:dyDescent="0.3">
      <c r="A34" s="98" t="s">
        <v>62</v>
      </c>
      <c r="B34" s="98">
        <v>2021</v>
      </c>
    </row>
    <row r="35" spans="1:3" x14ac:dyDescent="0.3">
      <c r="A35" s="98" t="s">
        <v>62</v>
      </c>
      <c r="B35" s="98">
        <v>2022</v>
      </c>
    </row>
    <row r="36" spans="1:3" x14ac:dyDescent="0.3">
      <c r="A36" s="98" t="s">
        <v>63</v>
      </c>
      <c r="B36" s="98">
        <v>2001</v>
      </c>
      <c r="C36" s="98">
        <v>136.55000000000001</v>
      </c>
    </row>
    <row r="37" spans="1:3" x14ac:dyDescent="0.3">
      <c r="A37" s="98" t="s">
        <v>63</v>
      </c>
      <c r="B37" s="98">
        <v>2002</v>
      </c>
      <c r="C37" s="98">
        <v>133.74</v>
      </c>
    </row>
    <row r="38" spans="1:3" x14ac:dyDescent="0.3">
      <c r="A38" s="98" t="s">
        <v>63</v>
      </c>
      <c r="B38" s="98">
        <v>2003</v>
      </c>
      <c r="C38" s="98">
        <v>106.58</v>
      </c>
    </row>
    <row r="39" spans="1:3" x14ac:dyDescent="0.3">
      <c r="A39" s="98" t="s">
        <v>63</v>
      </c>
      <c r="B39" s="98">
        <v>2004</v>
      </c>
      <c r="C39" s="98">
        <v>92.64</v>
      </c>
    </row>
    <row r="40" spans="1:3" x14ac:dyDescent="0.3">
      <c r="A40" s="98" t="s">
        <v>63</v>
      </c>
      <c r="B40" s="98">
        <v>2005</v>
      </c>
      <c r="C40" s="98">
        <v>103.58</v>
      </c>
    </row>
    <row r="41" spans="1:3" x14ac:dyDescent="0.3">
      <c r="A41" s="98" t="s">
        <v>63</v>
      </c>
      <c r="B41" s="98">
        <v>2006</v>
      </c>
      <c r="C41" s="98">
        <v>94.14</v>
      </c>
    </row>
    <row r="42" spans="1:3" x14ac:dyDescent="0.3">
      <c r="A42" s="98" t="s">
        <v>63</v>
      </c>
      <c r="B42" s="98">
        <v>2007</v>
      </c>
      <c r="C42" s="98">
        <v>82.89</v>
      </c>
    </row>
    <row r="43" spans="1:3" x14ac:dyDescent="0.3">
      <c r="A43" s="98" t="s">
        <v>63</v>
      </c>
      <c r="B43" s="98">
        <v>2008</v>
      </c>
      <c r="C43" s="98">
        <v>87.91</v>
      </c>
    </row>
    <row r="44" spans="1:3" x14ac:dyDescent="0.3">
      <c r="A44" s="98" t="s">
        <v>63</v>
      </c>
      <c r="B44" s="98">
        <v>2009</v>
      </c>
      <c r="C44" s="98">
        <v>95.81</v>
      </c>
    </row>
    <row r="45" spans="1:3" x14ac:dyDescent="0.3">
      <c r="A45" s="98" t="s">
        <v>63</v>
      </c>
      <c r="B45" s="98">
        <v>2010</v>
      </c>
      <c r="C45" s="98">
        <v>104</v>
      </c>
    </row>
    <row r="46" spans="1:3" x14ac:dyDescent="0.3">
      <c r="A46" s="98" t="s">
        <v>63</v>
      </c>
      <c r="B46" s="98">
        <v>2011</v>
      </c>
      <c r="C46" s="98">
        <v>107.54</v>
      </c>
    </row>
    <row r="47" spans="1:3" x14ac:dyDescent="0.3">
      <c r="A47" s="98" t="s">
        <v>63</v>
      </c>
      <c r="B47" s="98">
        <v>2012</v>
      </c>
      <c r="C47" s="98">
        <v>105.85</v>
      </c>
    </row>
    <row r="48" spans="1:3" x14ac:dyDescent="0.3">
      <c r="A48" s="98" t="s">
        <v>63</v>
      </c>
      <c r="B48" s="98">
        <v>2013</v>
      </c>
      <c r="C48" s="98">
        <v>101.86</v>
      </c>
    </row>
    <row r="49" spans="1:3" x14ac:dyDescent="0.3">
      <c r="A49" s="98" t="s">
        <v>63</v>
      </c>
      <c r="B49" s="98">
        <v>2014</v>
      </c>
      <c r="C49" s="98">
        <v>115.23</v>
      </c>
    </row>
    <row r="50" spans="1:3" x14ac:dyDescent="0.3">
      <c r="A50" s="98" t="s">
        <v>63</v>
      </c>
      <c r="B50" s="98">
        <v>2015</v>
      </c>
      <c r="C50" s="98">
        <v>125.79</v>
      </c>
    </row>
    <row r="51" spans="1:3" x14ac:dyDescent="0.3">
      <c r="A51" s="98" t="s">
        <v>63</v>
      </c>
      <c r="B51" s="98">
        <v>2016</v>
      </c>
      <c r="C51" s="98">
        <v>128.16999999999999</v>
      </c>
    </row>
    <row r="52" spans="1:3" x14ac:dyDescent="0.3">
      <c r="A52" s="98" t="s">
        <v>63</v>
      </c>
      <c r="B52" s="98">
        <v>2017</v>
      </c>
      <c r="C52" s="98">
        <v>111.1</v>
      </c>
    </row>
    <row r="53" spans="1:3" x14ac:dyDescent="0.3">
      <c r="A53" s="98" t="s">
        <v>63</v>
      </c>
      <c r="B53" s="98">
        <v>2018</v>
      </c>
      <c r="C53" s="98">
        <v>107.82</v>
      </c>
    </row>
    <row r="54" spans="1:3" x14ac:dyDescent="0.3">
      <c r="A54" s="98" t="s">
        <v>63</v>
      </c>
      <c r="B54" s="98">
        <v>2019</v>
      </c>
      <c r="C54" s="98">
        <v>108.64</v>
      </c>
    </row>
    <row r="55" spans="1:3" x14ac:dyDescent="0.3">
      <c r="A55" s="98" t="s">
        <v>63</v>
      </c>
      <c r="B55" s="98">
        <v>2020</v>
      </c>
      <c r="C55" s="98">
        <v>100.84</v>
      </c>
    </row>
    <row r="56" spans="1:3" x14ac:dyDescent="0.3">
      <c r="A56" s="98" t="s">
        <v>63</v>
      </c>
      <c r="B56" s="98">
        <v>2021</v>
      </c>
      <c r="C56" s="98">
        <v>106.54</v>
      </c>
    </row>
    <row r="57" spans="1:3" x14ac:dyDescent="0.3">
      <c r="A57" s="98" t="s">
        <v>63</v>
      </c>
      <c r="B57" s="98">
        <v>2022</v>
      </c>
      <c r="C57" s="98">
        <v>107.05</v>
      </c>
    </row>
    <row r="58" spans="1:3" x14ac:dyDescent="0.3">
      <c r="A58" s="98" t="s">
        <v>64</v>
      </c>
      <c r="B58" s="98">
        <v>2001</v>
      </c>
      <c r="C58" s="98">
        <v>77.819599999999994</v>
      </c>
    </row>
    <row r="59" spans="1:3" x14ac:dyDescent="0.3">
      <c r="A59" s="98" t="s">
        <v>64</v>
      </c>
      <c r="B59" s="98">
        <v>2002</v>
      </c>
      <c r="C59" s="98">
        <v>79.723399999999998</v>
      </c>
    </row>
    <row r="60" spans="1:3" x14ac:dyDescent="0.3">
      <c r="A60" s="98" t="s">
        <v>64</v>
      </c>
      <c r="B60" s="98">
        <v>2003</v>
      </c>
      <c r="C60" s="98">
        <v>72.612799999999993</v>
      </c>
    </row>
    <row r="61" spans="1:3" x14ac:dyDescent="0.3">
      <c r="A61" s="98" t="s">
        <v>64</v>
      </c>
      <c r="B61" s="98">
        <v>2004</v>
      </c>
      <c r="C61" s="98">
        <v>72.613699999999994</v>
      </c>
    </row>
    <row r="62" spans="1:3" x14ac:dyDescent="0.3">
      <c r="A62" s="98" t="s">
        <v>64</v>
      </c>
      <c r="B62" s="98">
        <v>2005</v>
      </c>
      <c r="C62" s="98">
        <v>73.379900000000006</v>
      </c>
    </row>
    <row r="63" spans="1:3" x14ac:dyDescent="0.3">
      <c r="A63" s="98" t="s">
        <v>64</v>
      </c>
      <c r="B63" s="98">
        <v>2006</v>
      </c>
      <c r="C63" s="98">
        <v>71.158199999999994</v>
      </c>
    </row>
    <row r="64" spans="1:3" x14ac:dyDescent="0.3">
      <c r="A64" s="98" t="s">
        <v>64</v>
      </c>
      <c r="B64" s="98">
        <v>2007</v>
      </c>
      <c r="C64" s="98">
        <v>66.829899999999995</v>
      </c>
    </row>
    <row r="65" spans="1:3" x14ac:dyDescent="0.3">
      <c r="A65" s="98" t="s">
        <v>64</v>
      </c>
      <c r="B65" s="98">
        <v>2008</v>
      </c>
      <c r="C65" s="98">
        <v>71.182599999999994</v>
      </c>
    </row>
    <row r="66" spans="1:3" x14ac:dyDescent="0.3">
      <c r="A66" s="98" t="s">
        <v>64</v>
      </c>
      <c r="B66" s="98">
        <v>2009</v>
      </c>
      <c r="C66" s="98">
        <v>72.730900000000005</v>
      </c>
    </row>
    <row r="67" spans="1:3" x14ac:dyDescent="0.3">
      <c r="A67" s="98" t="s">
        <v>64</v>
      </c>
      <c r="B67" s="98">
        <v>2010</v>
      </c>
      <c r="C67" s="98">
        <v>74.943700000000007</v>
      </c>
    </row>
    <row r="68" spans="1:3" x14ac:dyDescent="0.3">
      <c r="A68" s="98" t="s">
        <v>64</v>
      </c>
      <c r="B68" s="98">
        <v>2011</v>
      </c>
      <c r="C68" s="98">
        <v>76.056299999999993</v>
      </c>
    </row>
    <row r="69" spans="1:3" x14ac:dyDescent="0.3">
      <c r="A69" s="98" t="s">
        <v>64</v>
      </c>
      <c r="B69" s="98">
        <v>2012</v>
      </c>
      <c r="C69" s="98">
        <v>78.102500000000006</v>
      </c>
    </row>
    <row r="70" spans="1:3" x14ac:dyDescent="0.3">
      <c r="A70" s="98" t="s">
        <v>64</v>
      </c>
      <c r="B70" s="98">
        <v>2013</v>
      </c>
      <c r="C70" s="98">
        <v>78.1524</v>
      </c>
    </row>
    <row r="71" spans="1:3" x14ac:dyDescent="0.3">
      <c r="A71" s="98" t="s">
        <v>64</v>
      </c>
      <c r="B71" s="98">
        <v>2014</v>
      </c>
      <c r="C71" s="98">
        <v>87.903899999999993</v>
      </c>
    </row>
    <row r="72" spans="1:3" x14ac:dyDescent="0.3">
      <c r="A72" s="98" t="s">
        <v>64</v>
      </c>
      <c r="B72" s="98">
        <v>2015</v>
      </c>
      <c r="C72" s="98">
        <v>107.1317</v>
      </c>
    </row>
    <row r="73" spans="1:3" x14ac:dyDescent="0.3">
      <c r="A73" s="98" t="s">
        <v>64</v>
      </c>
      <c r="B73" s="98">
        <v>2016</v>
      </c>
      <c r="C73" s="98">
        <v>110.5274</v>
      </c>
    </row>
    <row r="74" spans="1:3" x14ac:dyDescent="0.3">
      <c r="A74" s="98" t="s">
        <v>64</v>
      </c>
      <c r="B74" s="98">
        <v>2017</v>
      </c>
      <c r="C74" s="98">
        <v>114.9327</v>
      </c>
    </row>
    <row r="75" spans="1:3" x14ac:dyDescent="0.3">
      <c r="A75" s="98" t="s">
        <v>64</v>
      </c>
      <c r="B75" s="98">
        <v>2018</v>
      </c>
      <c r="C75" s="98">
        <v>118.2906</v>
      </c>
    </row>
    <row r="76" spans="1:3" x14ac:dyDescent="0.3">
      <c r="A76" s="98" t="s">
        <v>64</v>
      </c>
      <c r="B76" s="98">
        <v>2019</v>
      </c>
      <c r="C76" s="98">
        <v>119.1596</v>
      </c>
    </row>
    <row r="77" spans="1:3" x14ac:dyDescent="0.3">
      <c r="A77" s="98" t="s">
        <v>64</v>
      </c>
      <c r="B77" s="98">
        <v>2020</v>
      </c>
      <c r="C77" s="98">
        <v>132.1319</v>
      </c>
    </row>
    <row r="78" spans="1:3" x14ac:dyDescent="0.3">
      <c r="A78" s="98" t="s">
        <v>64</v>
      </c>
      <c r="B78" s="98">
        <v>2021</v>
      </c>
      <c r="C78" s="98">
        <v>138.83760000000001</v>
      </c>
    </row>
    <row r="79" spans="1:3" x14ac:dyDescent="0.3">
      <c r="A79" s="98" t="s">
        <v>64</v>
      </c>
      <c r="B79" s="98">
        <v>2022</v>
      </c>
      <c r="C79" s="98">
        <v>137.22139999999999</v>
      </c>
    </row>
    <row r="80" spans="1:3" x14ac:dyDescent="0.3">
      <c r="A80" s="98" t="s">
        <v>65</v>
      </c>
      <c r="B80" s="98">
        <v>2001</v>
      </c>
    </row>
    <row r="81" spans="1:2" x14ac:dyDescent="0.3">
      <c r="A81" s="98" t="s">
        <v>65</v>
      </c>
      <c r="B81" s="98">
        <v>2002</v>
      </c>
    </row>
    <row r="82" spans="1:2" x14ac:dyDescent="0.3">
      <c r="A82" s="98" t="s">
        <v>65</v>
      </c>
      <c r="B82" s="98">
        <v>2003</v>
      </c>
    </row>
    <row r="83" spans="1:2" x14ac:dyDescent="0.3">
      <c r="A83" s="98" t="s">
        <v>65</v>
      </c>
      <c r="B83" s="98">
        <v>2004</v>
      </c>
    </row>
    <row r="84" spans="1:2" x14ac:dyDescent="0.3">
      <c r="A84" s="98" t="s">
        <v>65</v>
      </c>
      <c r="B84" s="98">
        <v>2005</v>
      </c>
    </row>
    <row r="85" spans="1:2" x14ac:dyDescent="0.3">
      <c r="A85" s="98" t="s">
        <v>65</v>
      </c>
      <c r="B85" s="98">
        <v>2006</v>
      </c>
    </row>
    <row r="86" spans="1:2" x14ac:dyDescent="0.3">
      <c r="A86" s="98" t="s">
        <v>65</v>
      </c>
      <c r="B86" s="98">
        <v>2007</v>
      </c>
    </row>
    <row r="87" spans="1:2" x14ac:dyDescent="0.3">
      <c r="A87" s="98" t="s">
        <v>65</v>
      </c>
      <c r="B87" s="98">
        <v>2008</v>
      </c>
    </row>
    <row r="88" spans="1:2" x14ac:dyDescent="0.3">
      <c r="A88" s="98" t="s">
        <v>65</v>
      </c>
      <c r="B88" s="98">
        <v>2009</v>
      </c>
    </row>
    <row r="89" spans="1:2" x14ac:dyDescent="0.3">
      <c r="A89" s="98" t="s">
        <v>65</v>
      </c>
      <c r="B89" s="98">
        <v>2010</v>
      </c>
    </row>
    <row r="90" spans="1:2" x14ac:dyDescent="0.3">
      <c r="A90" s="98" t="s">
        <v>65</v>
      </c>
      <c r="B90" s="98">
        <v>2011</v>
      </c>
    </row>
    <row r="91" spans="1:2" x14ac:dyDescent="0.3">
      <c r="A91" s="98" t="s">
        <v>65</v>
      </c>
      <c r="B91" s="98">
        <v>2012</v>
      </c>
    </row>
    <row r="92" spans="1:2" x14ac:dyDescent="0.3">
      <c r="A92" s="98" t="s">
        <v>65</v>
      </c>
      <c r="B92" s="98">
        <v>2013</v>
      </c>
    </row>
    <row r="93" spans="1:2" x14ac:dyDescent="0.3">
      <c r="A93" s="98" t="s">
        <v>65</v>
      </c>
      <c r="B93" s="98">
        <v>2014</v>
      </c>
    </row>
    <row r="94" spans="1:2" x14ac:dyDescent="0.3">
      <c r="A94" s="98" t="s">
        <v>65</v>
      </c>
      <c r="B94" s="98">
        <v>2015</v>
      </c>
    </row>
    <row r="95" spans="1:2" x14ac:dyDescent="0.3">
      <c r="A95" s="98" t="s">
        <v>65</v>
      </c>
      <c r="B95" s="98">
        <v>2016</v>
      </c>
    </row>
    <row r="96" spans="1:2" x14ac:dyDescent="0.3">
      <c r="A96" s="98" t="s">
        <v>65</v>
      </c>
      <c r="B96" s="98">
        <v>2017</v>
      </c>
    </row>
    <row r="97" spans="1:3" x14ac:dyDescent="0.3">
      <c r="A97" s="98" t="s">
        <v>65</v>
      </c>
      <c r="B97" s="98">
        <v>2018</v>
      </c>
    </row>
    <row r="98" spans="1:3" x14ac:dyDescent="0.3">
      <c r="A98" s="98" t="s">
        <v>65</v>
      </c>
      <c r="B98" s="98">
        <v>2019</v>
      </c>
    </row>
    <row r="99" spans="1:3" x14ac:dyDescent="0.3">
      <c r="A99" s="98" t="s">
        <v>65</v>
      </c>
      <c r="B99" s="98">
        <v>2020</v>
      </c>
      <c r="C99" s="98">
        <v>0.81492951000000002</v>
      </c>
    </row>
    <row r="100" spans="1:3" x14ac:dyDescent="0.3">
      <c r="A100" s="98" t="s">
        <v>65</v>
      </c>
      <c r="B100" s="98">
        <v>2021</v>
      </c>
      <c r="C100" s="98">
        <v>0.88292424999999997</v>
      </c>
    </row>
    <row r="101" spans="1:3" x14ac:dyDescent="0.3">
      <c r="A101" s="98" t="s">
        <v>65</v>
      </c>
      <c r="B101" s="98">
        <v>2022</v>
      </c>
      <c r="C101" s="98">
        <v>0.93755860000000002</v>
      </c>
    </row>
    <row r="102" spans="1:3" x14ac:dyDescent="0.3">
      <c r="A102" s="98" t="s">
        <v>66</v>
      </c>
      <c r="B102" s="98">
        <v>2001</v>
      </c>
      <c r="C102" s="98">
        <v>31.949359999999999</v>
      </c>
    </row>
    <row r="103" spans="1:3" x14ac:dyDescent="0.3">
      <c r="A103" s="98" t="s">
        <v>66</v>
      </c>
      <c r="B103" s="98">
        <v>2002</v>
      </c>
      <c r="C103" s="98">
        <v>58.666370000000001</v>
      </c>
    </row>
    <row r="104" spans="1:3" x14ac:dyDescent="0.3">
      <c r="A104" s="98" t="s">
        <v>66</v>
      </c>
      <c r="B104" s="98">
        <v>2003</v>
      </c>
      <c r="C104" s="98">
        <v>79.081490000000002</v>
      </c>
    </row>
    <row r="105" spans="1:3" x14ac:dyDescent="0.3">
      <c r="A105" s="98" t="s">
        <v>66</v>
      </c>
      <c r="B105" s="98">
        <v>2004</v>
      </c>
      <c r="C105" s="98">
        <v>85.987790000000004</v>
      </c>
    </row>
    <row r="106" spans="1:3" x14ac:dyDescent="0.3">
      <c r="A106" s="98" t="s">
        <v>66</v>
      </c>
      <c r="B106" s="98">
        <v>2005</v>
      </c>
      <c r="C106" s="98">
        <v>80.779510000000002</v>
      </c>
    </row>
    <row r="107" spans="1:3" x14ac:dyDescent="0.3">
      <c r="A107" s="98" t="s">
        <v>66</v>
      </c>
      <c r="B107" s="98">
        <v>2006</v>
      </c>
      <c r="C107" s="98">
        <v>80.264420000000001</v>
      </c>
    </row>
    <row r="108" spans="1:3" x14ac:dyDescent="0.3">
      <c r="A108" s="98" t="s">
        <v>66</v>
      </c>
      <c r="B108" s="98">
        <v>2007</v>
      </c>
      <c r="C108" s="98">
        <v>75.022999999999996</v>
      </c>
    </row>
    <row r="109" spans="1:3" x14ac:dyDescent="0.3">
      <c r="A109" s="98" t="s">
        <v>66</v>
      </c>
      <c r="B109" s="98">
        <v>2008</v>
      </c>
      <c r="C109" s="98">
        <v>75.168999999999997</v>
      </c>
    </row>
    <row r="110" spans="1:3" x14ac:dyDescent="0.3">
      <c r="A110" s="98" t="s">
        <v>66</v>
      </c>
      <c r="B110" s="98">
        <v>2009</v>
      </c>
      <c r="C110" s="98">
        <v>89.397999999999996</v>
      </c>
    </row>
    <row r="111" spans="1:3" x14ac:dyDescent="0.3">
      <c r="A111" s="98" t="s">
        <v>66</v>
      </c>
      <c r="B111" s="98">
        <v>2010</v>
      </c>
      <c r="C111" s="98">
        <v>92.643000000000001</v>
      </c>
    </row>
    <row r="112" spans="1:3" x14ac:dyDescent="0.3">
      <c r="A112" s="98" t="s">
        <v>66</v>
      </c>
      <c r="B112" s="98">
        <v>2011</v>
      </c>
      <c r="C112" s="98">
        <v>95.272000000000006</v>
      </c>
    </row>
    <row r="113" spans="1:3" x14ac:dyDescent="0.3">
      <c r="A113" s="98" t="s">
        <v>66</v>
      </c>
      <c r="B113" s="98">
        <v>2012</v>
      </c>
      <c r="C113" s="98">
        <v>95.825885</v>
      </c>
    </row>
    <row r="114" spans="1:3" x14ac:dyDescent="0.3">
      <c r="A114" s="98" t="s">
        <v>66</v>
      </c>
      <c r="B114" s="98">
        <v>2013</v>
      </c>
      <c r="C114" s="98">
        <v>97.561864</v>
      </c>
    </row>
    <row r="115" spans="1:3" x14ac:dyDescent="0.3">
      <c r="A115" s="98" t="s">
        <v>66</v>
      </c>
      <c r="B115" s="98">
        <v>2014</v>
      </c>
      <c r="C115" s="98">
        <v>102.863</v>
      </c>
    </row>
    <row r="116" spans="1:3" x14ac:dyDescent="0.3">
      <c r="A116" s="98" t="s">
        <v>66</v>
      </c>
      <c r="B116" s="98">
        <v>2015</v>
      </c>
      <c r="C116" s="98">
        <v>135.315</v>
      </c>
    </row>
    <row r="117" spans="1:3" x14ac:dyDescent="0.3">
      <c r="A117" s="98" t="s">
        <v>66</v>
      </c>
      <c r="B117" s="98">
        <v>2016</v>
      </c>
      <c r="C117" s="98">
        <v>165.90261000000001</v>
      </c>
    </row>
    <row r="118" spans="1:3" x14ac:dyDescent="0.3">
      <c r="A118" s="98" t="s">
        <v>66</v>
      </c>
      <c r="B118" s="98">
        <v>2017</v>
      </c>
      <c r="C118" s="98">
        <v>165.92349999999999</v>
      </c>
    </row>
    <row r="119" spans="1:3" x14ac:dyDescent="0.3">
      <c r="A119" s="98" t="s">
        <v>66</v>
      </c>
      <c r="B119" s="98">
        <v>2018</v>
      </c>
      <c r="C119" s="98">
        <v>308.60700000000003</v>
      </c>
    </row>
    <row r="120" spans="1:3" x14ac:dyDescent="0.3">
      <c r="A120" s="98" t="s">
        <v>66</v>
      </c>
      <c r="B120" s="98">
        <v>2019</v>
      </c>
      <c r="C120" s="98">
        <v>482.22699999999998</v>
      </c>
    </row>
    <row r="121" spans="1:3" x14ac:dyDescent="0.3">
      <c r="A121" s="98" t="s">
        <v>66</v>
      </c>
      <c r="B121" s="98">
        <v>2020</v>
      </c>
      <c r="C121" s="98">
        <v>656.22535000000005</v>
      </c>
    </row>
    <row r="122" spans="1:3" x14ac:dyDescent="0.3">
      <c r="A122" s="98" t="s">
        <v>66</v>
      </c>
      <c r="B122" s="98">
        <v>2021</v>
      </c>
      <c r="C122" s="98">
        <v>554.98099999999999</v>
      </c>
    </row>
    <row r="123" spans="1:3" x14ac:dyDescent="0.3">
      <c r="A123" s="98" t="s">
        <v>66</v>
      </c>
      <c r="B123" s="98">
        <v>2022</v>
      </c>
      <c r="C123" s="98">
        <v>503.69099999999997</v>
      </c>
    </row>
    <row r="124" spans="1:3" x14ac:dyDescent="0.3">
      <c r="A124" s="98" t="s">
        <v>67</v>
      </c>
      <c r="B124" s="98">
        <v>2001</v>
      </c>
      <c r="C124" s="98">
        <v>2.7</v>
      </c>
    </row>
    <row r="125" spans="1:3" x14ac:dyDescent="0.3">
      <c r="A125" s="98" t="s">
        <v>67</v>
      </c>
      <c r="B125" s="98">
        <v>2002</v>
      </c>
      <c r="C125" s="98">
        <v>2.7</v>
      </c>
    </row>
    <row r="126" spans="1:3" x14ac:dyDescent="0.3">
      <c r="A126" s="98" t="s">
        <v>67</v>
      </c>
      <c r="B126" s="98">
        <v>2003</v>
      </c>
      <c r="C126" s="98">
        <v>2.7</v>
      </c>
    </row>
    <row r="127" spans="1:3" x14ac:dyDescent="0.3">
      <c r="A127" s="98" t="s">
        <v>67</v>
      </c>
      <c r="B127" s="98">
        <v>2004</v>
      </c>
      <c r="C127" s="98">
        <v>2.7</v>
      </c>
    </row>
    <row r="128" spans="1:3" x14ac:dyDescent="0.3">
      <c r="A128" s="98" t="s">
        <v>67</v>
      </c>
      <c r="B128" s="98">
        <v>2005</v>
      </c>
      <c r="C128" s="98">
        <v>2.7</v>
      </c>
    </row>
    <row r="129" spans="1:3" x14ac:dyDescent="0.3">
      <c r="A129" s="98" t="s">
        <v>67</v>
      </c>
      <c r="B129" s="98">
        <v>2006</v>
      </c>
      <c r="C129" s="98">
        <v>2.7</v>
      </c>
    </row>
    <row r="130" spans="1:3" x14ac:dyDescent="0.3">
      <c r="A130" s="98" t="s">
        <v>67</v>
      </c>
      <c r="B130" s="98">
        <v>2007</v>
      </c>
      <c r="C130" s="98">
        <v>2.7</v>
      </c>
    </row>
    <row r="131" spans="1:3" x14ac:dyDescent="0.3">
      <c r="A131" s="98" t="s">
        <v>67</v>
      </c>
      <c r="B131" s="98">
        <v>2008</v>
      </c>
      <c r="C131" s="98">
        <v>2.7</v>
      </c>
    </row>
    <row r="132" spans="1:3" x14ac:dyDescent="0.3">
      <c r="A132" s="98" t="s">
        <v>67</v>
      </c>
      <c r="B132" s="98">
        <v>2009</v>
      </c>
      <c r="C132" s="98">
        <v>2.7</v>
      </c>
    </row>
    <row r="133" spans="1:3" x14ac:dyDescent="0.3">
      <c r="A133" s="98" t="s">
        <v>67</v>
      </c>
      <c r="B133" s="98">
        <v>2010</v>
      </c>
      <c r="C133" s="98">
        <v>2.7</v>
      </c>
    </row>
    <row r="134" spans="1:3" x14ac:dyDescent="0.3">
      <c r="A134" s="98" t="s">
        <v>67</v>
      </c>
      <c r="B134" s="98">
        <v>2011</v>
      </c>
      <c r="C134" s="98">
        <v>2.7</v>
      </c>
    </row>
    <row r="135" spans="1:3" x14ac:dyDescent="0.3">
      <c r="A135" s="98" t="s">
        <v>67</v>
      </c>
      <c r="B135" s="98">
        <v>2012</v>
      </c>
      <c r="C135" s="98">
        <v>2.7</v>
      </c>
    </row>
    <row r="136" spans="1:3" x14ac:dyDescent="0.3">
      <c r="A136" s="98" t="s">
        <v>67</v>
      </c>
      <c r="B136" s="98">
        <v>2013</v>
      </c>
      <c r="C136" s="98">
        <v>2.7</v>
      </c>
    </row>
    <row r="137" spans="1:3" x14ac:dyDescent="0.3">
      <c r="A137" s="98" t="s">
        <v>67</v>
      </c>
      <c r="B137" s="98">
        <v>2014</v>
      </c>
      <c r="C137" s="98">
        <v>2.7</v>
      </c>
    </row>
    <row r="138" spans="1:3" x14ac:dyDescent="0.3">
      <c r="A138" s="98" t="s">
        <v>67</v>
      </c>
      <c r="B138" s="98">
        <v>2015</v>
      </c>
      <c r="C138" s="98">
        <v>2.7</v>
      </c>
    </row>
    <row r="139" spans="1:3" x14ac:dyDescent="0.3">
      <c r="A139" s="98" t="s">
        <v>67</v>
      </c>
      <c r="B139" s="98">
        <v>2016</v>
      </c>
      <c r="C139" s="98">
        <v>2.7</v>
      </c>
    </row>
    <row r="140" spans="1:3" x14ac:dyDescent="0.3">
      <c r="A140" s="98" t="s">
        <v>67</v>
      </c>
      <c r="B140" s="98">
        <v>2017</v>
      </c>
      <c r="C140" s="98">
        <v>2.7</v>
      </c>
    </row>
    <row r="141" spans="1:3" x14ac:dyDescent="0.3">
      <c r="A141" s="98" t="s">
        <v>67</v>
      </c>
      <c r="B141" s="98">
        <v>2018</v>
      </c>
      <c r="C141" s="98">
        <v>2.7</v>
      </c>
    </row>
    <row r="142" spans="1:3" x14ac:dyDescent="0.3">
      <c r="A142" s="98" t="s">
        <v>67</v>
      </c>
      <c r="B142" s="98">
        <v>2019</v>
      </c>
      <c r="C142" s="98">
        <v>2.7</v>
      </c>
    </row>
    <row r="143" spans="1:3" x14ac:dyDescent="0.3">
      <c r="A143" s="98" t="s">
        <v>67</v>
      </c>
      <c r="B143" s="98">
        <v>2020</v>
      </c>
      <c r="C143" s="98">
        <v>2.7</v>
      </c>
    </row>
    <row r="144" spans="1:3" x14ac:dyDescent="0.3">
      <c r="A144" s="98" t="s">
        <v>67</v>
      </c>
      <c r="B144" s="98">
        <v>2021</v>
      </c>
      <c r="C144" s="98">
        <v>2.7</v>
      </c>
    </row>
    <row r="145" spans="1:3" x14ac:dyDescent="0.3">
      <c r="A145" s="98" t="s">
        <v>67</v>
      </c>
      <c r="B145" s="98">
        <v>2022</v>
      </c>
      <c r="C145" s="98">
        <v>2.7</v>
      </c>
    </row>
    <row r="146" spans="1:3" x14ac:dyDescent="0.3">
      <c r="A146" s="98" t="s">
        <v>68</v>
      </c>
      <c r="B146" s="98">
        <v>2001</v>
      </c>
      <c r="C146" s="98">
        <v>2.7</v>
      </c>
    </row>
    <row r="147" spans="1:3" x14ac:dyDescent="0.3">
      <c r="A147" s="98" t="s">
        <v>68</v>
      </c>
      <c r="B147" s="98">
        <v>2002</v>
      </c>
      <c r="C147" s="98">
        <v>2.7</v>
      </c>
    </row>
    <row r="148" spans="1:3" x14ac:dyDescent="0.3">
      <c r="A148" s="98" t="s">
        <v>68</v>
      </c>
      <c r="B148" s="98">
        <v>2003</v>
      </c>
      <c r="C148" s="98">
        <v>2.7</v>
      </c>
    </row>
    <row r="149" spans="1:3" x14ac:dyDescent="0.3">
      <c r="A149" s="98" t="s">
        <v>68</v>
      </c>
      <c r="B149" s="98">
        <v>2004</v>
      </c>
      <c r="C149" s="98">
        <v>2.7</v>
      </c>
    </row>
    <row r="150" spans="1:3" x14ac:dyDescent="0.3">
      <c r="A150" s="98" t="s">
        <v>68</v>
      </c>
      <c r="B150" s="98">
        <v>2005</v>
      </c>
      <c r="C150" s="98">
        <v>2.7</v>
      </c>
    </row>
    <row r="151" spans="1:3" x14ac:dyDescent="0.3">
      <c r="A151" s="98" t="s">
        <v>68</v>
      </c>
      <c r="B151" s="98">
        <v>2006</v>
      </c>
      <c r="C151" s="98">
        <v>2.7</v>
      </c>
    </row>
    <row r="152" spans="1:3" x14ac:dyDescent="0.3">
      <c r="A152" s="98" t="s">
        <v>68</v>
      </c>
      <c r="B152" s="98">
        <v>2007</v>
      </c>
      <c r="C152" s="98">
        <v>2.7</v>
      </c>
    </row>
    <row r="153" spans="1:3" x14ac:dyDescent="0.3">
      <c r="A153" s="98" t="s">
        <v>68</v>
      </c>
      <c r="B153" s="98">
        <v>2008</v>
      </c>
      <c r="C153" s="98">
        <v>2.7</v>
      </c>
    </row>
    <row r="154" spans="1:3" x14ac:dyDescent="0.3">
      <c r="A154" s="98" t="s">
        <v>68</v>
      </c>
      <c r="B154" s="98">
        <v>2009</v>
      </c>
      <c r="C154" s="98">
        <v>2.7</v>
      </c>
    </row>
    <row r="155" spans="1:3" x14ac:dyDescent="0.3">
      <c r="A155" s="98" t="s">
        <v>68</v>
      </c>
      <c r="B155" s="98">
        <v>2010</v>
      </c>
      <c r="C155" s="98">
        <v>2.7</v>
      </c>
    </row>
    <row r="156" spans="1:3" x14ac:dyDescent="0.3">
      <c r="A156" s="98" t="s">
        <v>68</v>
      </c>
      <c r="B156" s="98">
        <v>2011</v>
      </c>
      <c r="C156" s="98">
        <v>2.7</v>
      </c>
    </row>
    <row r="157" spans="1:3" x14ac:dyDescent="0.3">
      <c r="A157" s="98" t="s">
        <v>68</v>
      </c>
      <c r="B157" s="98">
        <v>2012</v>
      </c>
      <c r="C157" s="98">
        <v>2.7</v>
      </c>
    </row>
    <row r="158" spans="1:3" x14ac:dyDescent="0.3">
      <c r="A158" s="98" t="s">
        <v>68</v>
      </c>
      <c r="B158" s="98">
        <v>2013</v>
      </c>
      <c r="C158" s="98">
        <v>2.7</v>
      </c>
    </row>
    <row r="159" spans="1:3" x14ac:dyDescent="0.3">
      <c r="A159" s="98" t="s">
        <v>68</v>
      </c>
      <c r="B159" s="98">
        <v>2014</v>
      </c>
      <c r="C159" s="98">
        <v>2.7</v>
      </c>
    </row>
    <row r="160" spans="1:3" x14ac:dyDescent="0.3">
      <c r="A160" s="98" t="s">
        <v>68</v>
      </c>
      <c r="B160" s="98">
        <v>2015</v>
      </c>
      <c r="C160" s="98">
        <v>2.7</v>
      </c>
    </row>
    <row r="161" spans="1:3" x14ac:dyDescent="0.3">
      <c r="A161" s="98" t="s">
        <v>68</v>
      </c>
      <c r="B161" s="98">
        <v>2016</v>
      </c>
      <c r="C161" s="98">
        <v>2.7</v>
      </c>
    </row>
    <row r="162" spans="1:3" x14ac:dyDescent="0.3">
      <c r="A162" s="98" t="s">
        <v>68</v>
      </c>
      <c r="B162" s="98">
        <v>2017</v>
      </c>
      <c r="C162" s="98">
        <v>2.7</v>
      </c>
    </row>
    <row r="163" spans="1:3" x14ac:dyDescent="0.3">
      <c r="A163" s="98" t="s">
        <v>68</v>
      </c>
      <c r="B163" s="98">
        <v>2018</v>
      </c>
      <c r="C163" s="98">
        <v>2.7</v>
      </c>
    </row>
    <row r="164" spans="1:3" x14ac:dyDescent="0.3">
      <c r="A164" s="98" t="s">
        <v>68</v>
      </c>
      <c r="B164" s="98">
        <v>2019</v>
      </c>
      <c r="C164" s="98">
        <v>2.7</v>
      </c>
    </row>
    <row r="165" spans="1:3" x14ac:dyDescent="0.3">
      <c r="A165" s="98" t="s">
        <v>68</v>
      </c>
      <c r="B165" s="98">
        <v>2020</v>
      </c>
      <c r="C165" s="98">
        <v>2.7</v>
      </c>
    </row>
    <row r="166" spans="1:3" x14ac:dyDescent="0.3">
      <c r="A166" s="98" t="s">
        <v>68</v>
      </c>
      <c r="B166" s="98">
        <v>2021</v>
      </c>
      <c r="C166" s="98">
        <v>2.7</v>
      </c>
    </row>
    <row r="167" spans="1:3" x14ac:dyDescent="0.3">
      <c r="A167" s="98" t="s">
        <v>68</v>
      </c>
      <c r="B167" s="98">
        <v>2022</v>
      </c>
      <c r="C167" s="98">
        <v>2.7</v>
      </c>
    </row>
    <row r="168" spans="1:3" x14ac:dyDescent="0.3">
      <c r="A168" s="98" t="s">
        <v>69</v>
      </c>
      <c r="B168" s="98">
        <v>2001</v>
      </c>
      <c r="C168" s="98">
        <v>0.99950000000000006</v>
      </c>
    </row>
    <row r="169" spans="1:3" x14ac:dyDescent="0.3">
      <c r="A169" s="98" t="s">
        <v>69</v>
      </c>
      <c r="B169" s="98">
        <v>2002</v>
      </c>
      <c r="C169" s="98">
        <v>3.32</v>
      </c>
    </row>
    <row r="170" spans="1:3" x14ac:dyDescent="0.3">
      <c r="A170" s="98" t="s">
        <v>69</v>
      </c>
      <c r="B170" s="98">
        <v>2003</v>
      </c>
      <c r="C170" s="98">
        <v>2.9049999999999998</v>
      </c>
    </row>
    <row r="171" spans="1:3" x14ac:dyDescent="0.3">
      <c r="A171" s="98" t="s">
        <v>69</v>
      </c>
      <c r="B171" s="98">
        <v>2004</v>
      </c>
      <c r="C171" s="98">
        <v>2.9590000000000001</v>
      </c>
    </row>
    <row r="172" spans="1:3" x14ac:dyDescent="0.3">
      <c r="A172" s="98" t="s">
        <v>69</v>
      </c>
      <c r="B172" s="98">
        <v>2005</v>
      </c>
      <c r="C172" s="98">
        <v>3.012</v>
      </c>
    </row>
    <row r="173" spans="1:3" x14ac:dyDescent="0.3">
      <c r="A173" s="98" t="s">
        <v>69</v>
      </c>
      <c r="B173" s="98">
        <v>2006</v>
      </c>
      <c r="C173" s="98">
        <v>3.0419999999999998</v>
      </c>
    </row>
    <row r="174" spans="1:3" x14ac:dyDescent="0.3">
      <c r="A174" s="98" t="s">
        <v>69</v>
      </c>
      <c r="B174" s="98">
        <v>2007</v>
      </c>
      <c r="C174" s="98">
        <v>3.129</v>
      </c>
    </row>
    <row r="175" spans="1:3" x14ac:dyDescent="0.3">
      <c r="A175" s="98" t="s">
        <v>69</v>
      </c>
      <c r="B175" s="98">
        <v>2008</v>
      </c>
      <c r="C175" s="98">
        <v>3.4329999999999998</v>
      </c>
    </row>
    <row r="176" spans="1:3" x14ac:dyDescent="0.3">
      <c r="A176" s="98" t="s">
        <v>69</v>
      </c>
      <c r="B176" s="98">
        <v>2009</v>
      </c>
      <c r="C176" s="98">
        <v>3.78</v>
      </c>
    </row>
    <row r="177" spans="1:3" x14ac:dyDescent="0.3">
      <c r="A177" s="98" t="s">
        <v>69</v>
      </c>
      <c r="B177" s="98">
        <v>2010</v>
      </c>
      <c r="C177" s="98">
        <v>3.956</v>
      </c>
    </row>
    <row r="178" spans="1:3" x14ac:dyDescent="0.3">
      <c r="A178" s="98" t="s">
        <v>69</v>
      </c>
      <c r="B178" s="98">
        <v>2011</v>
      </c>
      <c r="C178" s="98">
        <v>4.2839999999999998</v>
      </c>
    </row>
    <row r="179" spans="1:3" x14ac:dyDescent="0.3">
      <c r="A179" s="98" t="s">
        <v>69</v>
      </c>
      <c r="B179" s="98">
        <v>2012</v>
      </c>
      <c r="C179" s="98">
        <v>4.8979999999999997</v>
      </c>
    </row>
    <row r="180" spans="1:3" x14ac:dyDescent="0.3">
      <c r="A180" s="98" t="s">
        <v>69</v>
      </c>
      <c r="B180" s="98">
        <v>2013</v>
      </c>
      <c r="C180" s="98">
        <v>6.5010000000000003</v>
      </c>
    </row>
    <row r="181" spans="1:3" x14ac:dyDescent="0.3">
      <c r="A181" s="98" t="s">
        <v>69</v>
      </c>
      <c r="B181" s="98">
        <v>2014</v>
      </c>
      <c r="C181" s="98">
        <v>8.51</v>
      </c>
    </row>
    <row r="182" spans="1:3" x14ac:dyDescent="0.3">
      <c r="A182" s="98" t="s">
        <v>69</v>
      </c>
      <c r="B182" s="98">
        <v>2015</v>
      </c>
      <c r="C182" s="98">
        <v>13.1</v>
      </c>
    </row>
    <row r="183" spans="1:3" x14ac:dyDescent="0.3">
      <c r="A183" s="98" t="s">
        <v>69</v>
      </c>
      <c r="B183" s="98">
        <v>2016</v>
      </c>
      <c r="C183" s="98">
        <v>15.9</v>
      </c>
    </row>
    <row r="184" spans="1:3" x14ac:dyDescent="0.3">
      <c r="A184" s="98" t="s">
        <v>69</v>
      </c>
      <c r="B184" s="98">
        <v>2017</v>
      </c>
      <c r="C184" s="98">
        <v>18.600000000000001</v>
      </c>
    </row>
    <row r="185" spans="1:3" x14ac:dyDescent="0.3">
      <c r="A185" s="98" t="s">
        <v>69</v>
      </c>
      <c r="B185" s="98">
        <v>2018</v>
      </c>
      <c r="C185" s="98">
        <v>37.6</v>
      </c>
    </row>
    <row r="186" spans="1:3" x14ac:dyDescent="0.3">
      <c r="A186" s="98" t="s">
        <v>69</v>
      </c>
      <c r="B186" s="98">
        <v>2019</v>
      </c>
      <c r="C186" s="98">
        <v>59.79</v>
      </c>
    </row>
    <row r="187" spans="1:3" x14ac:dyDescent="0.3">
      <c r="A187" s="98" t="s">
        <v>69</v>
      </c>
      <c r="B187" s="98">
        <v>2020</v>
      </c>
      <c r="C187" s="98">
        <v>84.05</v>
      </c>
    </row>
    <row r="188" spans="1:3" x14ac:dyDescent="0.3">
      <c r="A188" s="98" t="s">
        <v>69</v>
      </c>
      <c r="B188" s="98">
        <v>2021</v>
      </c>
      <c r="C188" s="98">
        <v>102.62</v>
      </c>
    </row>
    <row r="189" spans="1:3" x14ac:dyDescent="0.3">
      <c r="A189" s="98" t="s">
        <v>69</v>
      </c>
      <c r="B189" s="98">
        <v>2022</v>
      </c>
      <c r="C189" s="98">
        <v>177.06</v>
      </c>
    </row>
    <row r="190" spans="1:3" x14ac:dyDescent="0.3">
      <c r="A190" s="98" t="s">
        <v>70</v>
      </c>
      <c r="B190" s="98">
        <v>2001</v>
      </c>
      <c r="C190" s="98">
        <v>561.80999999999995</v>
      </c>
    </row>
    <row r="191" spans="1:3" x14ac:dyDescent="0.3">
      <c r="A191" s="98" t="s">
        <v>70</v>
      </c>
      <c r="B191" s="98">
        <v>2002</v>
      </c>
      <c r="C191" s="98">
        <v>584.89</v>
      </c>
    </row>
    <row r="192" spans="1:3" x14ac:dyDescent="0.3">
      <c r="A192" s="98" t="s">
        <v>70</v>
      </c>
      <c r="B192" s="98">
        <v>2003</v>
      </c>
      <c r="C192" s="98">
        <v>566</v>
      </c>
    </row>
    <row r="193" spans="1:3" x14ac:dyDescent="0.3">
      <c r="A193" s="98" t="s">
        <v>70</v>
      </c>
      <c r="B193" s="98">
        <v>2004</v>
      </c>
      <c r="C193" s="98">
        <v>485.84</v>
      </c>
    </row>
    <row r="194" spans="1:3" x14ac:dyDescent="0.3">
      <c r="A194" s="98" t="s">
        <v>70</v>
      </c>
      <c r="B194" s="98">
        <v>2005</v>
      </c>
      <c r="C194" s="98">
        <v>450.19</v>
      </c>
    </row>
    <row r="195" spans="1:3" x14ac:dyDescent="0.3">
      <c r="A195" s="98" t="s">
        <v>70</v>
      </c>
      <c r="B195" s="98">
        <v>2006</v>
      </c>
      <c r="C195" s="98">
        <v>363.5</v>
      </c>
    </row>
    <row r="196" spans="1:3" x14ac:dyDescent="0.3">
      <c r="A196" s="98" t="s">
        <v>70</v>
      </c>
      <c r="B196" s="98">
        <v>2007</v>
      </c>
      <c r="C196" s="98">
        <v>304.22000000000003</v>
      </c>
    </row>
    <row r="197" spans="1:3" x14ac:dyDescent="0.3">
      <c r="A197" s="98" t="s">
        <v>70</v>
      </c>
      <c r="B197" s="98">
        <v>2008</v>
      </c>
      <c r="C197" s="98">
        <v>306.73</v>
      </c>
    </row>
    <row r="198" spans="1:3" x14ac:dyDescent="0.3">
      <c r="A198" s="98" t="s">
        <v>70</v>
      </c>
      <c r="B198" s="98">
        <v>2009</v>
      </c>
      <c r="C198" s="98">
        <v>377.89</v>
      </c>
    </row>
    <row r="199" spans="1:3" x14ac:dyDescent="0.3">
      <c r="A199" s="98" t="s">
        <v>70</v>
      </c>
      <c r="B199" s="98">
        <v>2010</v>
      </c>
      <c r="C199" s="98">
        <v>363.44</v>
      </c>
    </row>
    <row r="200" spans="1:3" x14ac:dyDescent="0.3">
      <c r="A200" s="98" t="s">
        <v>70</v>
      </c>
      <c r="B200" s="98">
        <v>2011</v>
      </c>
      <c r="C200" s="98">
        <v>385.77</v>
      </c>
    </row>
    <row r="201" spans="1:3" x14ac:dyDescent="0.3">
      <c r="A201" s="98" t="s">
        <v>70</v>
      </c>
      <c r="B201" s="98">
        <v>2012</v>
      </c>
      <c r="C201" s="98">
        <v>403.58</v>
      </c>
    </row>
    <row r="202" spans="1:3" x14ac:dyDescent="0.3">
      <c r="A202" s="98" t="s">
        <v>70</v>
      </c>
      <c r="B202" s="98">
        <v>2013</v>
      </c>
      <c r="C202" s="98">
        <v>405.64</v>
      </c>
    </row>
    <row r="203" spans="1:3" x14ac:dyDescent="0.3">
      <c r="A203" s="98" t="s">
        <v>70</v>
      </c>
      <c r="B203" s="98">
        <v>2014</v>
      </c>
      <c r="C203" s="98">
        <v>474.97</v>
      </c>
    </row>
    <row r="204" spans="1:3" x14ac:dyDescent="0.3">
      <c r="A204" s="98" t="s">
        <v>70</v>
      </c>
      <c r="B204" s="98">
        <v>2015</v>
      </c>
      <c r="C204" s="98">
        <v>483.75</v>
      </c>
    </row>
    <row r="205" spans="1:3" x14ac:dyDescent="0.3">
      <c r="A205" s="98" t="s">
        <v>70</v>
      </c>
      <c r="B205" s="98">
        <v>2016</v>
      </c>
      <c r="C205" s="98">
        <v>483.94</v>
      </c>
    </row>
    <row r="206" spans="1:3" x14ac:dyDescent="0.3">
      <c r="A206" s="98" t="s">
        <v>70</v>
      </c>
      <c r="B206" s="98">
        <v>2017</v>
      </c>
      <c r="C206" s="98">
        <v>484.1</v>
      </c>
    </row>
    <row r="207" spans="1:3" x14ac:dyDescent="0.3">
      <c r="A207" s="98" t="s">
        <v>70</v>
      </c>
      <c r="B207" s="98">
        <v>2018</v>
      </c>
      <c r="C207" s="98">
        <v>483.75</v>
      </c>
    </row>
    <row r="208" spans="1:3" x14ac:dyDescent="0.3">
      <c r="A208" s="98" t="s">
        <v>70</v>
      </c>
      <c r="B208" s="98">
        <v>2019</v>
      </c>
      <c r="C208" s="98">
        <v>479.7</v>
      </c>
    </row>
    <row r="209" spans="1:3" x14ac:dyDescent="0.3">
      <c r="A209" s="98" t="s">
        <v>70</v>
      </c>
      <c r="B209" s="98">
        <v>2020</v>
      </c>
      <c r="C209" s="98">
        <v>522.59</v>
      </c>
    </row>
    <row r="210" spans="1:3" x14ac:dyDescent="0.3">
      <c r="A210" s="98" t="s">
        <v>70</v>
      </c>
      <c r="B210" s="98">
        <v>2021</v>
      </c>
      <c r="C210" s="98">
        <v>480.14</v>
      </c>
    </row>
    <row r="211" spans="1:3" x14ac:dyDescent="0.3">
      <c r="A211" s="98" t="s">
        <v>70</v>
      </c>
      <c r="B211" s="98">
        <v>2022</v>
      </c>
      <c r="C211" s="98">
        <v>393.57</v>
      </c>
    </row>
    <row r="212" spans="1:3" x14ac:dyDescent="0.3">
      <c r="A212" s="98" t="s">
        <v>71</v>
      </c>
      <c r="B212" s="98">
        <v>2001</v>
      </c>
      <c r="C212" s="98">
        <v>1.79</v>
      </c>
    </row>
    <row r="213" spans="1:3" x14ac:dyDescent="0.3">
      <c r="A213" s="98" t="s">
        <v>71</v>
      </c>
      <c r="B213" s="98">
        <v>2002</v>
      </c>
      <c r="C213" s="98">
        <v>1.79</v>
      </c>
    </row>
    <row r="214" spans="1:3" x14ac:dyDescent="0.3">
      <c r="A214" s="98" t="s">
        <v>71</v>
      </c>
      <c r="B214" s="98">
        <v>2003</v>
      </c>
      <c r="C214" s="98">
        <v>1.79</v>
      </c>
    </row>
    <row r="215" spans="1:3" x14ac:dyDescent="0.3">
      <c r="A215" s="98" t="s">
        <v>71</v>
      </c>
      <c r="B215" s="98">
        <v>2004</v>
      </c>
      <c r="C215" s="98">
        <v>1.79</v>
      </c>
    </row>
    <row r="216" spans="1:3" x14ac:dyDescent="0.3">
      <c r="A216" s="98" t="s">
        <v>71</v>
      </c>
      <c r="B216" s="98">
        <v>2005</v>
      </c>
      <c r="C216" s="98">
        <v>1.79</v>
      </c>
    </row>
    <row r="217" spans="1:3" x14ac:dyDescent="0.3">
      <c r="A217" s="98" t="s">
        <v>71</v>
      </c>
      <c r="B217" s="98">
        <v>2006</v>
      </c>
      <c r="C217" s="98">
        <v>1.79</v>
      </c>
    </row>
    <row r="218" spans="1:3" x14ac:dyDescent="0.3">
      <c r="A218" s="98" t="s">
        <v>71</v>
      </c>
      <c r="B218" s="98">
        <v>2007</v>
      </c>
      <c r="C218" s="98">
        <v>1.79</v>
      </c>
    </row>
    <row r="219" spans="1:3" x14ac:dyDescent="0.3">
      <c r="A219" s="98" t="s">
        <v>71</v>
      </c>
      <c r="B219" s="98">
        <v>2008</v>
      </c>
      <c r="C219" s="98">
        <v>1.79</v>
      </c>
    </row>
    <row r="220" spans="1:3" x14ac:dyDescent="0.3">
      <c r="A220" s="98" t="s">
        <v>71</v>
      </c>
      <c r="B220" s="98">
        <v>2009</v>
      </c>
      <c r="C220" s="98">
        <v>1.79</v>
      </c>
    </row>
    <row r="221" spans="1:3" x14ac:dyDescent="0.3">
      <c r="A221" s="98" t="s">
        <v>71</v>
      </c>
      <c r="B221" s="98">
        <v>2010</v>
      </c>
      <c r="C221" s="98">
        <v>1.79</v>
      </c>
    </row>
    <row r="222" spans="1:3" x14ac:dyDescent="0.3">
      <c r="A222" s="98" t="s">
        <v>71</v>
      </c>
      <c r="B222" s="98">
        <v>2011</v>
      </c>
      <c r="C222" s="98">
        <v>1.79</v>
      </c>
    </row>
    <row r="223" spans="1:3" x14ac:dyDescent="0.3">
      <c r="A223" s="98" t="s">
        <v>71</v>
      </c>
      <c r="B223" s="98">
        <v>2012</v>
      </c>
      <c r="C223" s="98">
        <v>1.79</v>
      </c>
    </row>
    <row r="224" spans="1:3" x14ac:dyDescent="0.3">
      <c r="A224" s="98" t="s">
        <v>71</v>
      </c>
      <c r="B224" s="98">
        <v>2013</v>
      </c>
      <c r="C224" s="98">
        <v>1.79</v>
      </c>
    </row>
    <row r="225" spans="1:3" x14ac:dyDescent="0.3">
      <c r="A225" s="98" t="s">
        <v>71</v>
      </c>
      <c r="B225" s="98">
        <v>2014</v>
      </c>
      <c r="C225" s="98">
        <v>1.79</v>
      </c>
    </row>
    <row r="226" spans="1:3" x14ac:dyDescent="0.3">
      <c r="A226" s="98" t="s">
        <v>71</v>
      </c>
      <c r="B226" s="98">
        <v>2015</v>
      </c>
      <c r="C226" s="98">
        <v>1.79</v>
      </c>
    </row>
    <row r="227" spans="1:3" x14ac:dyDescent="0.3">
      <c r="A227" s="98" t="s">
        <v>71</v>
      </c>
      <c r="B227" s="98">
        <v>2016</v>
      </c>
      <c r="C227" s="98">
        <v>1.79</v>
      </c>
    </row>
    <row r="228" spans="1:3" x14ac:dyDescent="0.3">
      <c r="A228" s="98" t="s">
        <v>71</v>
      </c>
      <c r="B228" s="98">
        <v>2017</v>
      </c>
      <c r="C228" s="98">
        <v>1.79</v>
      </c>
    </row>
    <row r="229" spans="1:3" x14ac:dyDescent="0.3">
      <c r="A229" s="98" t="s">
        <v>71</v>
      </c>
      <c r="B229" s="98">
        <v>2018</v>
      </c>
      <c r="C229" s="98">
        <v>1.79</v>
      </c>
    </row>
    <row r="230" spans="1:3" x14ac:dyDescent="0.3">
      <c r="A230" s="98" t="s">
        <v>71</v>
      </c>
      <c r="B230" s="98">
        <v>2019</v>
      </c>
      <c r="C230" s="98">
        <v>1.79</v>
      </c>
    </row>
    <row r="231" spans="1:3" x14ac:dyDescent="0.3">
      <c r="A231" s="98" t="s">
        <v>71</v>
      </c>
      <c r="B231" s="98">
        <v>2020</v>
      </c>
      <c r="C231" s="98">
        <v>1.79</v>
      </c>
    </row>
    <row r="232" spans="1:3" x14ac:dyDescent="0.3">
      <c r="A232" s="98" t="s">
        <v>71</v>
      </c>
      <c r="B232" s="98">
        <v>2021</v>
      </c>
      <c r="C232" s="98">
        <v>1.79</v>
      </c>
    </row>
    <row r="233" spans="1:3" x14ac:dyDescent="0.3">
      <c r="A233" s="98" t="s">
        <v>71</v>
      </c>
      <c r="B233" s="98">
        <v>2022</v>
      </c>
      <c r="C233" s="98">
        <v>1.79</v>
      </c>
    </row>
    <row r="234" spans="1:3" x14ac:dyDescent="0.3">
      <c r="A234" s="98" t="s">
        <v>72</v>
      </c>
      <c r="B234" s="98">
        <v>2001</v>
      </c>
      <c r="C234" s="98">
        <v>1.9584801999999999</v>
      </c>
    </row>
    <row r="235" spans="1:3" x14ac:dyDescent="0.3">
      <c r="A235" s="98" t="s">
        <v>72</v>
      </c>
      <c r="B235" s="98">
        <v>2002</v>
      </c>
      <c r="C235" s="98">
        <v>1.7661604</v>
      </c>
    </row>
    <row r="236" spans="1:3" x14ac:dyDescent="0.3">
      <c r="A236" s="98" t="s">
        <v>72</v>
      </c>
      <c r="B236" s="98">
        <v>2003</v>
      </c>
      <c r="C236" s="98">
        <v>1.3333333000000001</v>
      </c>
    </row>
    <row r="237" spans="1:3" x14ac:dyDescent="0.3">
      <c r="A237" s="98" t="s">
        <v>72</v>
      </c>
      <c r="B237" s="98">
        <v>2004</v>
      </c>
      <c r="C237" s="98">
        <v>1.2836970000000001</v>
      </c>
    </row>
    <row r="238" spans="1:3" x14ac:dyDescent="0.3">
      <c r="A238" s="98" t="s">
        <v>72</v>
      </c>
      <c r="B238" s="98">
        <v>2005</v>
      </c>
      <c r="C238" s="98">
        <v>1.3629549000000001</v>
      </c>
    </row>
    <row r="239" spans="1:3" x14ac:dyDescent="0.3">
      <c r="A239" s="98" t="s">
        <v>72</v>
      </c>
      <c r="B239" s="98">
        <v>2006</v>
      </c>
      <c r="C239" s="98">
        <v>1.2637432</v>
      </c>
    </row>
    <row r="240" spans="1:3" x14ac:dyDescent="0.3">
      <c r="A240" s="98" t="s">
        <v>72</v>
      </c>
      <c r="B240" s="98">
        <v>2007</v>
      </c>
      <c r="C240" s="98">
        <v>1.1343013</v>
      </c>
    </row>
    <row r="241" spans="1:3" x14ac:dyDescent="0.3">
      <c r="A241" s="98" t="s">
        <v>72</v>
      </c>
      <c r="B241" s="98">
        <v>2008</v>
      </c>
      <c r="C241" s="98">
        <v>1.4434180000000001</v>
      </c>
    </row>
    <row r="242" spans="1:3" x14ac:dyDescent="0.3">
      <c r="A242" s="98" t="s">
        <v>72</v>
      </c>
      <c r="B242" s="98">
        <v>2009</v>
      </c>
      <c r="C242" s="98">
        <v>1.1149515000000001</v>
      </c>
    </row>
    <row r="243" spans="1:3" x14ac:dyDescent="0.3">
      <c r="A243" s="98" t="s">
        <v>72</v>
      </c>
      <c r="B243" s="98">
        <v>2010</v>
      </c>
      <c r="C243" s="98">
        <v>0.98396143000000003</v>
      </c>
    </row>
    <row r="244" spans="1:3" x14ac:dyDescent="0.3">
      <c r="A244" s="98" t="s">
        <v>72</v>
      </c>
      <c r="B244" s="98">
        <v>2011</v>
      </c>
      <c r="C244" s="98">
        <v>0.98463962000000005</v>
      </c>
    </row>
    <row r="245" spans="1:3" x14ac:dyDescent="0.3">
      <c r="A245" s="98" t="s">
        <v>72</v>
      </c>
      <c r="B245" s="98">
        <v>2012</v>
      </c>
      <c r="C245" s="98">
        <v>0.96107640999999999</v>
      </c>
    </row>
    <row r="246" spans="1:3" x14ac:dyDescent="0.3">
      <c r="A246" s="98" t="s">
        <v>72</v>
      </c>
      <c r="B246" s="98">
        <v>2013</v>
      </c>
      <c r="C246" s="98">
        <v>1.1280315999999999</v>
      </c>
    </row>
    <row r="247" spans="1:3" x14ac:dyDescent="0.3">
      <c r="A247" s="98" t="s">
        <v>72</v>
      </c>
      <c r="B247" s="98">
        <v>2014</v>
      </c>
      <c r="C247" s="98">
        <v>1.2192148</v>
      </c>
    </row>
    <row r="248" spans="1:3" x14ac:dyDescent="0.3">
      <c r="A248" s="98" t="s">
        <v>72</v>
      </c>
      <c r="B248" s="98">
        <v>2015</v>
      </c>
      <c r="C248" s="98">
        <v>1.368738</v>
      </c>
    </row>
    <row r="249" spans="1:3" x14ac:dyDescent="0.3">
      <c r="A249" s="98" t="s">
        <v>72</v>
      </c>
      <c r="B249" s="98">
        <v>2016</v>
      </c>
      <c r="C249" s="98">
        <v>1.3819790000000001</v>
      </c>
    </row>
    <row r="250" spans="1:3" x14ac:dyDescent="0.3">
      <c r="A250" s="98" t="s">
        <v>72</v>
      </c>
      <c r="B250" s="98">
        <v>2017</v>
      </c>
      <c r="C250" s="98">
        <v>1.2820513</v>
      </c>
    </row>
    <row r="251" spans="1:3" x14ac:dyDescent="0.3">
      <c r="A251" s="98" t="s">
        <v>72</v>
      </c>
      <c r="B251" s="98">
        <v>2018</v>
      </c>
      <c r="C251" s="98">
        <v>1.4168320000000001</v>
      </c>
    </row>
    <row r="252" spans="1:3" x14ac:dyDescent="0.3">
      <c r="A252" s="98" t="s">
        <v>72</v>
      </c>
      <c r="B252" s="98">
        <v>2019</v>
      </c>
      <c r="C252" s="98">
        <v>1.4273480000000001</v>
      </c>
    </row>
    <row r="253" spans="1:3" x14ac:dyDescent="0.3">
      <c r="A253" s="98" t="s">
        <v>72</v>
      </c>
      <c r="B253" s="98">
        <v>2020</v>
      </c>
      <c r="C253" s="98">
        <v>1.2983640999999999</v>
      </c>
    </row>
    <row r="254" spans="1:3" x14ac:dyDescent="0.3">
      <c r="A254" s="98" t="s">
        <v>72</v>
      </c>
      <c r="B254" s="98">
        <v>2021</v>
      </c>
      <c r="C254" s="98">
        <v>1.3781698</v>
      </c>
    </row>
    <row r="255" spans="1:3" x14ac:dyDescent="0.3">
      <c r="A255" s="98" t="s">
        <v>72</v>
      </c>
      <c r="B255" s="98">
        <v>2022</v>
      </c>
      <c r="C255" s="98">
        <v>1.4760148</v>
      </c>
    </row>
    <row r="256" spans="1:3" x14ac:dyDescent="0.3">
      <c r="A256" s="98" t="s">
        <v>73</v>
      </c>
      <c r="B256" s="98">
        <v>2001</v>
      </c>
      <c r="C256" s="98">
        <v>0.95499999999999996</v>
      </c>
    </row>
    <row r="257" spans="1:3" x14ac:dyDescent="0.3">
      <c r="A257" s="98" t="s">
        <v>73</v>
      </c>
      <c r="B257" s="98">
        <v>2002</v>
      </c>
      <c r="C257" s="98">
        <v>0.97860000000000003</v>
      </c>
    </row>
    <row r="258" spans="1:3" x14ac:dyDescent="0.3">
      <c r="A258" s="98" t="s">
        <v>73</v>
      </c>
      <c r="B258" s="98">
        <v>2003</v>
      </c>
      <c r="C258" s="98">
        <v>0.98460000000000003</v>
      </c>
    </row>
    <row r="259" spans="1:3" x14ac:dyDescent="0.3">
      <c r="A259" s="98" t="s">
        <v>73</v>
      </c>
      <c r="B259" s="98">
        <v>2004</v>
      </c>
      <c r="C259" s="98">
        <v>0.98060000000000003</v>
      </c>
    </row>
    <row r="260" spans="1:3" x14ac:dyDescent="0.3">
      <c r="A260" s="98" t="s">
        <v>73</v>
      </c>
      <c r="B260" s="98">
        <v>2005</v>
      </c>
      <c r="C260" s="98">
        <v>0.91859999999999997</v>
      </c>
    </row>
    <row r="261" spans="1:3" x14ac:dyDescent="0.3">
      <c r="A261" s="98" t="s">
        <v>73</v>
      </c>
      <c r="B261" s="98">
        <v>2006</v>
      </c>
      <c r="C261" s="98">
        <v>0.87139999999999995</v>
      </c>
    </row>
    <row r="262" spans="1:3" x14ac:dyDescent="0.3">
      <c r="A262" s="98" t="s">
        <v>73</v>
      </c>
      <c r="B262" s="98">
        <v>2007</v>
      </c>
      <c r="C262" s="98">
        <v>0.84530000000000005</v>
      </c>
    </row>
    <row r="263" spans="1:3" x14ac:dyDescent="0.3">
      <c r="A263" s="98" t="s">
        <v>73</v>
      </c>
      <c r="B263" s="98">
        <v>2008</v>
      </c>
      <c r="C263" s="98">
        <v>0.80100000000000005</v>
      </c>
    </row>
    <row r="264" spans="1:3" x14ac:dyDescent="0.3">
      <c r="A264" s="98" t="s">
        <v>73</v>
      </c>
      <c r="B264" s="98">
        <v>2009</v>
      </c>
      <c r="C264" s="98">
        <v>0.80310000000000004</v>
      </c>
    </row>
    <row r="265" spans="1:3" x14ac:dyDescent="0.3">
      <c r="A265" s="98" t="s">
        <v>73</v>
      </c>
      <c r="B265" s="98">
        <v>2010</v>
      </c>
      <c r="C265" s="98">
        <v>0.79790000000000005</v>
      </c>
    </row>
    <row r="266" spans="1:3" x14ac:dyDescent="0.3">
      <c r="A266" s="98" t="s">
        <v>73</v>
      </c>
      <c r="B266" s="98">
        <v>2011</v>
      </c>
      <c r="C266" s="98">
        <v>0.78649999999999998</v>
      </c>
    </row>
    <row r="267" spans="1:3" x14ac:dyDescent="0.3">
      <c r="A267" s="98" t="s">
        <v>73</v>
      </c>
      <c r="B267" s="98">
        <v>2012</v>
      </c>
      <c r="C267" s="98">
        <v>0.78500000000000003</v>
      </c>
    </row>
    <row r="268" spans="1:3" x14ac:dyDescent="0.3">
      <c r="A268" s="98" t="s">
        <v>73</v>
      </c>
      <c r="B268" s="98">
        <v>2013</v>
      </c>
      <c r="C268" s="98">
        <v>0.78449999999999998</v>
      </c>
    </row>
    <row r="269" spans="1:3" x14ac:dyDescent="0.3">
      <c r="A269" s="98" t="s">
        <v>73</v>
      </c>
      <c r="B269" s="98">
        <v>2014</v>
      </c>
      <c r="C269" s="98">
        <v>0.78439999999999999</v>
      </c>
    </row>
    <row r="270" spans="1:3" x14ac:dyDescent="0.3">
      <c r="A270" s="98" t="s">
        <v>73</v>
      </c>
      <c r="B270" s="98">
        <v>2015</v>
      </c>
      <c r="C270" s="98">
        <v>1.5593999999999999</v>
      </c>
    </row>
    <row r="271" spans="1:3" x14ac:dyDescent="0.3">
      <c r="A271" s="98" t="s">
        <v>73</v>
      </c>
      <c r="B271" s="98">
        <v>2016</v>
      </c>
      <c r="C271" s="98">
        <v>1.7706999999999999</v>
      </c>
    </row>
    <row r="272" spans="1:3" x14ac:dyDescent="0.3">
      <c r="A272" s="98" t="s">
        <v>73</v>
      </c>
      <c r="B272" s="98">
        <v>2017</v>
      </c>
      <c r="C272" s="98">
        <v>1.7000999999999999</v>
      </c>
    </row>
    <row r="273" spans="1:3" x14ac:dyDescent="0.3">
      <c r="A273" s="98" t="s">
        <v>73</v>
      </c>
      <c r="B273" s="98">
        <v>2018</v>
      </c>
      <c r="C273" s="98">
        <v>1.7</v>
      </c>
    </row>
    <row r="274" spans="1:3" x14ac:dyDescent="0.3">
      <c r="A274" s="98" t="s">
        <v>73</v>
      </c>
      <c r="B274" s="98">
        <v>2019</v>
      </c>
      <c r="C274" s="98">
        <v>1.7</v>
      </c>
    </row>
    <row r="275" spans="1:3" x14ac:dyDescent="0.3">
      <c r="A275" s="98" t="s">
        <v>73</v>
      </c>
      <c r="B275" s="98">
        <v>2020</v>
      </c>
      <c r="C275" s="98">
        <v>1.7</v>
      </c>
    </row>
    <row r="276" spans="1:3" x14ac:dyDescent="0.3">
      <c r="A276" s="98" t="s">
        <v>73</v>
      </c>
      <c r="B276" s="98">
        <v>2021</v>
      </c>
      <c r="C276" s="98">
        <v>1.7</v>
      </c>
    </row>
    <row r="277" spans="1:3" x14ac:dyDescent="0.3">
      <c r="A277" s="98" t="s">
        <v>73</v>
      </c>
      <c r="B277" s="98">
        <v>2022</v>
      </c>
      <c r="C277" s="98">
        <v>1.7</v>
      </c>
    </row>
    <row r="278" spans="1:3" x14ac:dyDescent="0.3">
      <c r="A278" s="98" t="s">
        <v>74</v>
      </c>
      <c r="B278" s="98">
        <v>2001</v>
      </c>
      <c r="C278" s="98">
        <v>1</v>
      </c>
    </row>
    <row r="279" spans="1:3" x14ac:dyDescent="0.3">
      <c r="A279" s="98" t="s">
        <v>74</v>
      </c>
      <c r="B279" s="98">
        <v>2002</v>
      </c>
      <c r="C279" s="98">
        <v>1</v>
      </c>
    </row>
    <row r="280" spans="1:3" x14ac:dyDescent="0.3">
      <c r="A280" s="98" t="s">
        <v>74</v>
      </c>
      <c r="B280" s="98">
        <v>2003</v>
      </c>
      <c r="C280" s="98">
        <v>1</v>
      </c>
    </row>
    <row r="281" spans="1:3" x14ac:dyDescent="0.3">
      <c r="A281" s="98" t="s">
        <v>74</v>
      </c>
      <c r="B281" s="98">
        <v>2004</v>
      </c>
      <c r="C281" s="98">
        <v>1</v>
      </c>
    </row>
    <row r="282" spans="1:3" x14ac:dyDescent="0.3">
      <c r="A282" s="98" t="s">
        <v>74</v>
      </c>
      <c r="B282" s="98">
        <v>2005</v>
      </c>
      <c r="C282" s="98">
        <v>1</v>
      </c>
    </row>
    <row r="283" spans="1:3" x14ac:dyDescent="0.3">
      <c r="A283" s="98" t="s">
        <v>74</v>
      </c>
      <c r="B283" s="98">
        <v>2006</v>
      </c>
      <c r="C283" s="98">
        <v>1</v>
      </c>
    </row>
    <row r="284" spans="1:3" x14ac:dyDescent="0.3">
      <c r="A284" s="98" t="s">
        <v>74</v>
      </c>
      <c r="B284" s="98">
        <v>2007</v>
      </c>
      <c r="C284" s="98">
        <v>1</v>
      </c>
    </row>
    <row r="285" spans="1:3" x14ac:dyDescent="0.3">
      <c r="A285" s="98" t="s">
        <v>74</v>
      </c>
      <c r="B285" s="98">
        <v>2008</v>
      </c>
      <c r="C285" s="98">
        <v>1</v>
      </c>
    </row>
    <row r="286" spans="1:3" x14ac:dyDescent="0.3">
      <c r="A286" s="98" t="s">
        <v>74</v>
      </c>
      <c r="B286" s="98">
        <v>2009</v>
      </c>
      <c r="C286" s="98">
        <v>1</v>
      </c>
    </row>
    <row r="287" spans="1:3" x14ac:dyDescent="0.3">
      <c r="A287" s="98" t="s">
        <v>74</v>
      </c>
      <c r="B287" s="98">
        <v>2010</v>
      </c>
      <c r="C287" s="98">
        <v>1</v>
      </c>
    </row>
    <row r="288" spans="1:3" x14ac:dyDescent="0.3">
      <c r="A288" s="98" t="s">
        <v>74</v>
      </c>
      <c r="B288" s="98">
        <v>2011</v>
      </c>
      <c r="C288" s="98">
        <v>1</v>
      </c>
    </row>
    <row r="289" spans="1:3" x14ac:dyDescent="0.3">
      <c r="A289" s="98" t="s">
        <v>74</v>
      </c>
      <c r="B289" s="98">
        <v>2012</v>
      </c>
      <c r="C289" s="98">
        <v>1</v>
      </c>
    </row>
    <row r="290" spans="1:3" x14ac:dyDescent="0.3">
      <c r="A290" s="98" t="s">
        <v>74</v>
      </c>
      <c r="B290" s="98">
        <v>2013</v>
      </c>
      <c r="C290" s="98">
        <v>1</v>
      </c>
    </row>
    <row r="291" spans="1:3" x14ac:dyDescent="0.3">
      <c r="A291" s="98" t="s">
        <v>74</v>
      </c>
      <c r="B291" s="98">
        <v>2014</v>
      </c>
      <c r="C291" s="98">
        <v>1</v>
      </c>
    </row>
    <row r="292" spans="1:3" x14ac:dyDescent="0.3">
      <c r="A292" s="98" t="s">
        <v>74</v>
      </c>
      <c r="B292" s="98">
        <v>2015</v>
      </c>
      <c r="C292" s="98">
        <v>1</v>
      </c>
    </row>
    <row r="293" spans="1:3" x14ac:dyDescent="0.3">
      <c r="A293" s="98" t="s">
        <v>74</v>
      </c>
      <c r="B293" s="98">
        <v>2016</v>
      </c>
      <c r="C293" s="98">
        <v>1</v>
      </c>
    </row>
    <row r="294" spans="1:3" x14ac:dyDescent="0.3">
      <c r="A294" s="98" t="s">
        <v>74</v>
      </c>
      <c r="B294" s="98">
        <v>2017</v>
      </c>
      <c r="C294" s="98">
        <v>1</v>
      </c>
    </row>
    <row r="295" spans="1:3" x14ac:dyDescent="0.3">
      <c r="A295" s="98" t="s">
        <v>74</v>
      </c>
      <c r="B295" s="98">
        <v>2018</v>
      </c>
      <c r="C295" s="98">
        <v>1</v>
      </c>
    </row>
    <row r="296" spans="1:3" x14ac:dyDescent="0.3">
      <c r="A296" s="98" t="s">
        <v>74</v>
      </c>
      <c r="B296" s="98">
        <v>2019</v>
      </c>
      <c r="C296" s="98">
        <v>1</v>
      </c>
    </row>
    <row r="297" spans="1:3" x14ac:dyDescent="0.3">
      <c r="A297" s="98" t="s">
        <v>74</v>
      </c>
      <c r="B297" s="98">
        <v>2020</v>
      </c>
      <c r="C297" s="98">
        <v>1</v>
      </c>
    </row>
    <row r="298" spans="1:3" x14ac:dyDescent="0.3">
      <c r="A298" s="98" t="s">
        <v>74</v>
      </c>
      <c r="B298" s="98">
        <v>2021</v>
      </c>
      <c r="C298" s="98">
        <v>1</v>
      </c>
    </row>
    <row r="299" spans="1:3" x14ac:dyDescent="0.3">
      <c r="A299" s="98" t="s">
        <v>74</v>
      </c>
      <c r="B299" s="98">
        <v>2022</v>
      </c>
      <c r="C299" s="98">
        <v>1</v>
      </c>
    </row>
    <row r="300" spans="1:3" x14ac:dyDescent="0.3">
      <c r="A300" s="98" t="s">
        <v>75</v>
      </c>
      <c r="B300" s="98">
        <v>2001</v>
      </c>
      <c r="C300" s="98">
        <v>0.376</v>
      </c>
    </row>
    <row r="301" spans="1:3" x14ac:dyDescent="0.3">
      <c r="A301" s="98" t="s">
        <v>75</v>
      </c>
      <c r="B301" s="98">
        <v>2002</v>
      </c>
      <c r="C301" s="98">
        <v>0.376</v>
      </c>
    </row>
    <row r="302" spans="1:3" x14ac:dyDescent="0.3">
      <c r="A302" s="98" t="s">
        <v>75</v>
      </c>
      <c r="B302" s="98">
        <v>2003</v>
      </c>
      <c r="C302" s="98">
        <v>0.376</v>
      </c>
    </row>
    <row r="303" spans="1:3" x14ac:dyDescent="0.3">
      <c r="A303" s="98" t="s">
        <v>75</v>
      </c>
      <c r="B303" s="98">
        <v>2004</v>
      </c>
      <c r="C303" s="98">
        <v>0.376</v>
      </c>
    </row>
    <row r="304" spans="1:3" x14ac:dyDescent="0.3">
      <c r="A304" s="98" t="s">
        <v>75</v>
      </c>
      <c r="B304" s="98">
        <v>2005</v>
      </c>
      <c r="C304" s="98">
        <v>0.376</v>
      </c>
    </row>
    <row r="305" spans="1:3" x14ac:dyDescent="0.3">
      <c r="A305" s="98" t="s">
        <v>75</v>
      </c>
      <c r="B305" s="98">
        <v>2006</v>
      </c>
      <c r="C305" s="98">
        <v>0.376</v>
      </c>
    </row>
    <row r="306" spans="1:3" x14ac:dyDescent="0.3">
      <c r="A306" s="98" t="s">
        <v>75</v>
      </c>
      <c r="B306" s="98">
        <v>2007</v>
      </c>
      <c r="C306" s="98">
        <v>0.376</v>
      </c>
    </row>
    <row r="307" spans="1:3" x14ac:dyDescent="0.3">
      <c r="A307" s="98" t="s">
        <v>75</v>
      </c>
      <c r="B307" s="98">
        <v>2008</v>
      </c>
      <c r="C307" s="98">
        <v>0.376</v>
      </c>
    </row>
    <row r="308" spans="1:3" x14ac:dyDescent="0.3">
      <c r="A308" s="98" t="s">
        <v>75</v>
      </c>
      <c r="B308" s="98">
        <v>2009</v>
      </c>
      <c r="C308" s="98">
        <v>0.376</v>
      </c>
    </row>
    <row r="309" spans="1:3" x14ac:dyDescent="0.3">
      <c r="A309" s="98" t="s">
        <v>75</v>
      </c>
      <c r="B309" s="98">
        <v>2010</v>
      </c>
      <c r="C309" s="98">
        <v>0.376</v>
      </c>
    </row>
    <row r="310" spans="1:3" x14ac:dyDescent="0.3">
      <c r="A310" s="98" t="s">
        <v>75</v>
      </c>
      <c r="B310" s="98">
        <v>2011</v>
      </c>
      <c r="C310" s="98">
        <v>0.376</v>
      </c>
    </row>
    <row r="311" spans="1:3" x14ac:dyDescent="0.3">
      <c r="A311" s="98" t="s">
        <v>75</v>
      </c>
      <c r="B311" s="98">
        <v>2012</v>
      </c>
      <c r="C311" s="98">
        <v>0.376</v>
      </c>
    </row>
    <row r="312" spans="1:3" x14ac:dyDescent="0.3">
      <c r="A312" s="98" t="s">
        <v>75</v>
      </c>
      <c r="B312" s="98">
        <v>2013</v>
      </c>
      <c r="C312" s="98">
        <v>0.376</v>
      </c>
    </row>
    <row r="313" spans="1:3" x14ac:dyDescent="0.3">
      <c r="A313" s="98" t="s">
        <v>75</v>
      </c>
      <c r="B313" s="98">
        <v>2014</v>
      </c>
      <c r="C313" s="98">
        <v>0.376</v>
      </c>
    </row>
    <row r="314" spans="1:3" x14ac:dyDescent="0.3">
      <c r="A314" s="98" t="s">
        <v>75</v>
      </c>
      <c r="B314" s="98">
        <v>2015</v>
      </c>
      <c r="C314" s="98">
        <v>0.376</v>
      </c>
    </row>
    <row r="315" spans="1:3" x14ac:dyDescent="0.3">
      <c r="A315" s="98" t="s">
        <v>75</v>
      </c>
      <c r="B315" s="98">
        <v>2016</v>
      </c>
      <c r="C315" s="98">
        <v>0.376</v>
      </c>
    </row>
    <row r="316" spans="1:3" x14ac:dyDescent="0.3">
      <c r="A316" s="98" t="s">
        <v>75</v>
      </c>
      <c r="B316" s="98">
        <v>2017</v>
      </c>
      <c r="C316" s="98">
        <v>0.376</v>
      </c>
    </row>
    <row r="317" spans="1:3" x14ac:dyDescent="0.3">
      <c r="A317" s="98" t="s">
        <v>75</v>
      </c>
      <c r="B317" s="98">
        <v>2018</v>
      </c>
      <c r="C317" s="98">
        <v>0.376</v>
      </c>
    </row>
    <row r="318" spans="1:3" x14ac:dyDescent="0.3">
      <c r="A318" s="98" t="s">
        <v>75</v>
      </c>
      <c r="B318" s="98">
        <v>2019</v>
      </c>
      <c r="C318" s="98">
        <v>0.376</v>
      </c>
    </row>
    <row r="319" spans="1:3" x14ac:dyDescent="0.3">
      <c r="A319" s="98" t="s">
        <v>75</v>
      </c>
      <c r="B319" s="98">
        <v>2020</v>
      </c>
      <c r="C319" s="98">
        <v>0.376</v>
      </c>
    </row>
    <row r="320" spans="1:3" x14ac:dyDescent="0.3">
      <c r="A320" s="98" t="s">
        <v>75</v>
      </c>
      <c r="B320" s="98">
        <v>2021</v>
      </c>
      <c r="C320" s="98">
        <v>0.376</v>
      </c>
    </row>
    <row r="321" spans="1:3" x14ac:dyDescent="0.3">
      <c r="A321" s="98" t="s">
        <v>75</v>
      </c>
      <c r="B321" s="98">
        <v>2022</v>
      </c>
      <c r="C321" s="98">
        <v>0.376</v>
      </c>
    </row>
    <row r="322" spans="1:3" x14ac:dyDescent="0.3">
      <c r="A322" s="98" t="s">
        <v>76</v>
      </c>
      <c r="B322" s="98">
        <v>2001</v>
      </c>
      <c r="C322" s="98">
        <v>57</v>
      </c>
    </row>
    <row r="323" spans="1:3" x14ac:dyDescent="0.3">
      <c r="A323" s="98" t="s">
        <v>76</v>
      </c>
      <c r="B323" s="98">
        <v>2002</v>
      </c>
      <c r="C323" s="98">
        <v>57.9</v>
      </c>
    </row>
    <row r="324" spans="1:3" x14ac:dyDescent="0.3">
      <c r="A324" s="98" t="s">
        <v>76</v>
      </c>
      <c r="B324" s="98">
        <v>2003</v>
      </c>
      <c r="C324" s="98">
        <v>58.781700000000001</v>
      </c>
    </row>
    <row r="325" spans="1:3" x14ac:dyDescent="0.3">
      <c r="A325" s="98" t="s">
        <v>76</v>
      </c>
      <c r="B325" s="98">
        <v>2004</v>
      </c>
      <c r="C325" s="98">
        <v>60.7423</v>
      </c>
    </row>
    <row r="326" spans="1:3" x14ac:dyDescent="0.3">
      <c r="A326" s="98" t="s">
        <v>76</v>
      </c>
      <c r="B326" s="98">
        <v>2005</v>
      </c>
      <c r="C326" s="98">
        <v>66.209999999999994</v>
      </c>
    </row>
    <row r="327" spans="1:3" x14ac:dyDescent="0.3">
      <c r="A327" s="98" t="s">
        <v>76</v>
      </c>
      <c r="B327" s="98">
        <v>2006</v>
      </c>
      <c r="C327" s="98">
        <v>69.065100000000001</v>
      </c>
    </row>
    <row r="328" spans="1:3" x14ac:dyDescent="0.3">
      <c r="A328" s="98" t="s">
        <v>76</v>
      </c>
      <c r="B328" s="98">
        <v>2007</v>
      </c>
      <c r="C328" s="98">
        <v>68.576099999999997</v>
      </c>
    </row>
    <row r="329" spans="1:3" x14ac:dyDescent="0.3">
      <c r="A329" s="98" t="s">
        <v>76</v>
      </c>
      <c r="B329" s="98">
        <v>2008</v>
      </c>
      <c r="C329" s="98">
        <v>68.92</v>
      </c>
    </row>
    <row r="330" spans="1:3" x14ac:dyDescent="0.3">
      <c r="A330" s="98" t="s">
        <v>76</v>
      </c>
      <c r="B330" s="98">
        <v>2009</v>
      </c>
      <c r="C330" s="98">
        <v>69.2667</v>
      </c>
    </row>
    <row r="331" spans="1:3" x14ac:dyDescent="0.3">
      <c r="A331" s="98" t="s">
        <v>76</v>
      </c>
      <c r="B331" s="98">
        <v>2010</v>
      </c>
      <c r="C331" s="98">
        <v>70.749700000000004</v>
      </c>
    </row>
    <row r="332" spans="1:3" x14ac:dyDescent="0.3">
      <c r="A332" s="98" t="s">
        <v>76</v>
      </c>
      <c r="B332" s="98">
        <v>2011</v>
      </c>
      <c r="C332" s="98">
        <v>81.852900000000005</v>
      </c>
    </row>
    <row r="333" spans="1:3" x14ac:dyDescent="0.3">
      <c r="A333" s="98" t="s">
        <v>76</v>
      </c>
      <c r="B333" s="98">
        <v>2012</v>
      </c>
      <c r="C333" s="98">
        <v>79.849900000000005</v>
      </c>
    </row>
    <row r="334" spans="1:3" x14ac:dyDescent="0.3">
      <c r="A334" s="98" t="s">
        <v>76</v>
      </c>
      <c r="B334" s="98">
        <v>2013</v>
      </c>
      <c r="C334" s="98">
        <v>77.75</v>
      </c>
    </row>
    <row r="335" spans="1:3" x14ac:dyDescent="0.3">
      <c r="A335" s="98" t="s">
        <v>76</v>
      </c>
      <c r="B335" s="98">
        <v>2014</v>
      </c>
      <c r="C335" s="98">
        <v>77.949399999999997</v>
      </c>
    </row>
    <row r="336" spans="1:3" x14ac:dyDescent="0.3">
      <c r="A336" s="98" t="s">
        <v>76</v>
      </c>
      <c r="B336" s="98">
        <v>2015</v>
      </c>
      <c r="C336" s="98">
        <v>78.500299999999996</v>
      </c>
    </row>
    <row r="337" spans="1:3" x14ac:dyDescent="0.3">
      <c r="A337" s="98" t="s">
        <v>76</v>
      </c>
      <c r="B337" s="98">
        <v>2016</v>
      </c>
      <c r="C337" s="98">
        <v>78.702200000000005</v>
      </c>
    </row>
    <row r="338" spans="1:3" x14ac:dyDescent="0.3">
      <c r="A338" s="98" t="s">
        <v>76</v>
      </c>
      <c r="B338" s="98">
        <v>2017</v>
      </c>
      <c r="C338" s="98">
        <v>82.7</v>
      </c>
    </row>
    <row r="339" spans="1:3" x14ac:dyDescent="0.3">
      <c r="A339" s="98" t="s">
        <v>76</v>
      </c>
      <c r="B339" s="98">
        <v>2018</v>
      </c>
      <c r="C339" s="98">
        <v>83.9</v>
      </c>
    </row>
    <row r="340" spans="1:3" x14ac:dyDescent="0.3">
      <c r="A340" s="98" t="s">
        <v>76</v>
      </c>
      <c r="B340" s="98">
        <v>2019</v>
      </c>
      <c r="C340" s="98">
        <v>84.9</v>
      </c>
    </row>
    <row r="341" spans="1:3" x14ac:dyDescent="0.3">
      <c r="A341" s="98" t="s">
        <v>76</v>
      </c>
      <c r="B341" s="98">
        <v>2020</v>
      </c>
      <c r="C341" s="98">
        <v>84.8</v>
      </c>
    </row>
    <row r="342" spans="1:3" x14ac:dyDescent="0.3">
      <c r="A342" s="98" t="s">
        <v>76</v>
      </c>
      <c r="B342" s="98">
        <v>2021</v>
      </c>
      <c r="C342" s="98">
        <v>85.8</v>
      </c>
    </row>
    <row r="343" spans="1:3" x14ac:dyDescent="0.3">
      <c r="A343" s="98" t="s">
        <v>76</v>
      </c>
      <c r="B343" s="98">
        <v>2022</v>
      </c>
      <c r="C343" s="98">
        <v>99</v>
      </c>
    </row>
    <row r="344" spans="1:3" x14ac:dyDescent="0.3">
      <c r="A344" s="98" t="s">
        <v>77</v>
      </c>
      <c r="B344" s="98">
        <v>2001</v>
      </c>
      <c r="C344" s="98">
        <v>2</v>
      </c>
    </row>
    <row r="345" spans="1:3" x14ac:dyDescent="0.3">
      <c r="A345" s="98" t="s">
        <v>77</v>
      </c>
      <c r="B345" s="98">
        <v>2002</v>
      </c>
      <c r="C345" s="98">
        <v>2</v>
      </c>
    </row>
    <row r="346" spans="1:3" x14ac:dyDescent="0.3">
      <c r="A346" s="98" t="s">
        <v>77</v>
      </c>
      <c r="B346" s="98">
        <v>2003</v>
      </c>
      <c r="C346" s="98">
        <v>2</v>
      </c>
    </row>
    <row r="347" spans="1:3" x14ac:dyDescent="0.3">
      <c r="A347" s="98" t="s">
        <v>77</v>
      </c>
      <c r="B347" s="98">
        <v>2004</v>
      </c>
      <c r="C347" s="98">
        <v>2</v>
      </c>
    </row>
    <row r="348" spans="1:3" x14ac:dyDescent="0.3">
      <c r="A348" s="98" t="s">
        <v>77</v>
      </c>
      <c r="B348" s="98">
        <v>2005</v>
      </c>
      <c r="C348" s="98">
        <v>2</v>
      </c>
    </row>
    <row r="349" spans="1:3" x14ac:dyDescent="0.3">
      <c r="A349" s="98" t="s">
        <v>77</v>
      </c>
      <c r="B349" s="98">
        <v>2006</v>
      </c>
      <c r="C349" s="98">
        <v>2</v>
      </c>
    </row>
    <row r="350" spans="1:3" x14ac:dyDescent="0.3">
      <c r="A350" s="98" t="s">
        <v>77</v>
      </c>
      <c r="B350" s="98">
        <v>2007</v>
      </c>
      <c r="C350" s="98">
        <v>2</v>
      </c>
    </row>
    <row r="351" spans="1:3" x14ac:dyDescent="0.3">
      <c r="A351" s="98" t="s">
        <v>77</v>
      </c>
      <c r="B351" s="98">
        <v>2008</v>
      </c>
      <c r="C351" s="98">
        <v>2</v>
      </c>
    </row>
    <row r="352" spans="1:3" x14ac:dyDescent="0.3">
      <c r="A352" s="98" t="s">
        <v>77</v>
      </c>
      <c r="B352" s="98">
        <v>2009</v>
      </c>
      <c r="C352" s="98">
        <v>2</v>
      </c>
    </row>
    <row r="353" spans="1:3" x14ac:dyDescent="0.3">
      <c r="A353" s="98" t="s">
        <v>77</v>
      </c>
      <c r="B353" s="98">
        <v>2010</v>
      </c>
      <c r="C353" s="98">
        <v>2</v>
      </c>
    </row>
    <row r="354" spans="1:3" x14ac:dyDescent="0.3">
      <c r="A354" s="98" t="s">
        <v>77</v>
      </c>
      <c r="B354" s="98">
        <v>2011</v>
      </c>
      <c r="C354" s="98">
        <v>2</v>
      </c>
    </row>
    <row r="355" spans="1:3" x14ac:dyDescent="0.3">
      <c r="A355" s="98" t="s">
        <v>77</v>
      </c>
      <c r="B355" s="98">
        <v>2012</v>
      </c>
      <c r="C355" s="98">
        <v>2</v>
      </c>
    </row>
    <row r="356" spans="1:3" x14ac:dyDescent="0.3">
      <c r="A356" s="98" t="s">
        <v>77</v>
      </c>
      <c r="B356" s="98">
        <v>2013</v>
      </c>
      <c r="C356" s="98">
        <v>2</v>
      </c>
    </row>
    <row r="357" spans="1:3" x14ac:dyDescent="0.3">
      <c r="A357" s="98" t="s">
        <v>77</v>
      </c>
      <c r="B357" s="98">
        <v>2014</v>
      </c>
      <c r="C357" s="98">
        <v>2</v>
      </c>
    </row>
    <row r="358" spans="1:3" x14ac:dyDescent="0.3">
      <c r="A358" s="98" t="s">
        <v>77</v>
      </c>
      <c r="B358" s="98">
        <v>2015</v>
      </c>
      <c r="C358" s="98">
        <v>2</v>
      </c>
    </row>
    <row r="359" spans="1:3" x14ac:dyDescent="0.3">
      <c r="A359" s="98" t="s">
        <v>77</v>
      </c>
      <c r="B359" s="98">
        <v>2016</v>
      </c>
      <c r="C359" s="98">
        <v>2</v>
      </c>
    </row>
    <row r="360" spans="1:3" x14ac:dyDescent="0.3">
      <c r="A360" s="98" t="s">
        <v>77</v>
      </c>
      <c r="B360" s="98">
        <v>2017</v>
      </c>
      <c r="C360" s="98">
        <v>2</v>
      </c>
    </row>
    <row r="361" spans="1:3" x14ac:dyDescent="0.3">
      <c r="A361" s="98" t="s">
        <v>77</v>
      </c>
      <c r="B361" s="98">
        <v>2018</v>
      </c>
      <c r="C361" s="98">
        <v>2</v>
      </c>
    </row>
    <row r="362" spans="1:3" x14ac:dyDescent="0.3">
      <c r="A362" s="98" t="s">
        <v>77</v>
      </c>
      <c r="B362" s="98">
        <v>2019</v>
      </c>
      <c r="C362" s="98">
        <v>2</v>
      </c>
    </row>
    <row r="363" spans="1:3" x14ac:dyDescent="0.3">
      <c r="A363" s="98" t="s">
        <v>77</v>
      </c>
      <c r="B363" s="98">
        <v>2020</v>
      </c>
      <c r="C363" s="98">
        <v>2</v>
      </c>
    </row>
    <row r="364" spans="1:3" x14ac:dyDescent="0.3">
      <c r="A364" s="98" t="s">
        <v>77</v>
      </c>
      <c r="B364" s="98">
        <v>2021</v>
      </c>
      <c r="C364" s="98">
        <v>2</v>
      </c>
    </row>
    <row r="365" spans="1:3" x14ac:dyDescent="0.3">
      <c r="A365" s="98" t="s">
        <v>77</v>
      </c>
      <c r="B365" s="98">
        <v>2022</v>
      </c>
      <c r="C365" s="98">
        <v>2</v>
      </c>
    </row>
    <row r="366" spans="1:3" x14ac:dyDescent="0.3">
      <c r="A366" s="98" t="s">
        <v>78</v>
      </c>
      <c r="B366" s="98">
        <v>2001</v>
      </c>
      <c r="C366" s="98">
        <v>0.158</v>
      </c>
    </row>
    <row r="367" spans="1:3" x14ac:dyDescent="0.3">
      <c r="A367" s="98" t="s">
        <v>78</v>
      </c>
      <c r="B367" s="98">
        <v>2002</v>
      </c>
      <c r="C367" s="98">
        <v>0.192</v>
      </c>
    </row>
    <row r="368" spans="1:3" x14ac:dyDescent="0.3">
      <c r="A368" s="98" t="s">
        <v>78</v>
      </c>
      <c r="B368" s="98">
        <v>2003</v>
      </c>
      <c r="C368" s="98">
        <v>0.21560000000000001</v>
      </c>
    </row>
    <row r="369" spans="1:3" x14ac:dyDescent="0.3">
      <c r="A369" s="98" t="s">
        <v>78</v>
      </c>
      <c r="B369" s="98">
        <v>2004</v>
      </c>
      <c r="C369" s="98">
        <v>0.217</v>
      </c>
    </row>
    <row r="370" spans="1:3" x14ac:dyDescent="0.3">
      <c r="A370" s="98" t="s">
        <v>78</v>
      </c>
      <c r="B370" s="98">
        <v>2005</v>
      </c>
      <c r="C370" s="98">
        <v>0.2152</v>
      </c>
    </row>
    <row r="371" spans="1:3" x14ac:dyDescent="0.3">
      <c r="A371" s="98" t="s">
        <v>78</v>
      </c>
      <c r="B371" s="98">
        <v>2006</v>
      </c>
      <c r="C371" s="98">
        <v>0.214</v>
      </c>
    </row>
    <row r="372" spans="1:3" x14ac:dyDescent="0.3">
      <c r="A372" s="98" t="s">
        <v>78</v>
      </c>
      <c r="B372" s="98">
        <v>2007</v>
      </c>
      <c r="C372" s="98">
        <v>0.215</v>
      </c>
    </row>
    <row r="373" spans="1:3" x14ac:dyDescent="0.3">
      <c r="A373" s="98" t="s">
        <v>78</v>
      </c>
      <c r="B373" s="98">
        <v>2008</v>
      </c>
      <c r="C373" s="98">
        <v>0.22</v>
      </c>
    </row>
    <row r="374" spans="1:3" x14ac:dyDescent="0.3">
      <c r="A374" s="98" t="s">
        <v>78</v>
      </c>
      <c r="B374" s="98">
        <v>2009</v>
      </c>
      <c r="C374" s="98">
        <v>0.2863</v>
      </c>
    </row>
    <row r="375" spans="1:3" x14ac:dyDescent="0.3">
      <c r="A375" s="98" t="s">
        <v>78</v>
      </c>
      <c r="B375" s="98">
        <v>2010</v>
      </c>
      <c r="C375" s="98">
        <v>0.3</v>
      </c>
    </row>
    <row r="376" spans="1:3" x14ac:dyDescent="0.3">
      <c r="A376" s="98" t="s">
        <v>78</v>
      </c>
      <c r="B376" s="98">
        <v>2011</v>
      </c>
      <c r="C376" s="98">
        <v>0.83499999999999996</v>
      </c>
    </row>
    <row r="377" spans="1:3" x14ac:dyDescent="0.3">
      <c r="A377" s="98" t="s">
        <v>78</v>
      </c>
      <c r="B377" s="98">
        <v>2012</v>
      </c>
      <c r="C377" s="98">
        <v>0.85699999999999998</v>
      </c>
    </row>
    <row r="378" spans="1:3" x14ac:dyDescent="0.3">
      <c r="A378" s="98" t="s">
        <v>78</v>
      </c>
      <c r="B378" s="98">
        <v>2013</v>
      </c>
      <c r="C378" s="98">
        <v>0.95099999999999996</v>
      </c>
    </row>
    <row r="379" spans="1:3" x14ac:dyDescent="0.3">
      <c r="A379" s="98" t="s">
        <v>78</v>
      </c>
      <c r="B379" s="98">
        <v>2014</v>
      </c>
      <c r="C379" s="98">
        <v>1.1850000000000001</v>
      </c>
    </row>
    <row r="380" spans="1:3" x14ac:dyDescent="0.3">
      <c r="A380" s="98" t="s">
        <v>78</v>
      </c>
      <c r="B380" s="98">
        <v>2015</v>
      </c>
      <c r="C380" s="98">
        <v>1.8569</v>
      </c>
    </row>
    <row r="381" spans="1:3" x14ac:dyDescent="0.3">
      <c r="A381" s="98" t="s">
        <v>78</v>
      </c>
      <c r="B381" s="98">
        <v>2016</v>
      </c>
      <c r="C381" s="98">
        <v>1.9584999999999999</v>
      </c>
    </row>
    <row r="382" spans="1:3" x14ac:dyDescent="0.3">
      <c r="A382" s="98" t="s">
        <v>78</v>
      </c>
      <c r="B382" s="98">
        <v>2017</v>
      </c>
      <c r="C382" s="98">
        <v>1.9726999999999999</v>
      </c>
    </row>
    <row r="383" spans="1:3" x14ac:dyDescent="0.3">
      <c r="A383" s="98" t="s">
        <v>78</v>
      </c>
      <c r="B383" s="98">
        <v>2018</v>
      </c>
      <c r="C383" s="98">
        <v>2.1598000000000002</v>
      </c>
    </row>
    <row r="384" spans="1:3" x14ac:dyDescent="0.3">
      <c r="A384" s="98" t="s">
        <v>78</v>
      </c>
      <c r="B384" s="98">
        <v>2019</v>
      </c>
      <c r="C384" s="98">
        <v>2.1036000000000001</v>
      </c>
    </row>
    <row r="385" spans="1:3" x14ac:dyDescent="0.3">
      <c r="A385" s="98" t="s">
        <v>78</v>
      </c>
      <c r="B385" s="98">
        <v>2020</v>
      </c>
      <c r="C385" s="98">
        <v>2.5789</v>
      </c>
    </row>
    <row r="386" spans="1:3" x14ac:dyDescent="0.3">
      <c r="A386" s="98" t="s">
        <v>78</v>
      </c>
      <c r="B386" s="98">
        <v>2021</v>
      </c>
      <c r="C386" s="98">
        <v>2.5480999999999998</v>
      </c>
    </row>
    <row r="387" spans="1:3" x14ac:dyDescent="0.3">
      <c r="A387" s="98" t="s">
        <v>78</v>
      </c>
      <c r="B387" s="98">
        <v>2022</v>
      </c>
      <c r="C387" s="98">
        <v>2.7364000000000002</v>
      </c>
    </row>
    <row r="388" spans="1:3" x14ac:dyDescent="0.3">
      <c r="A388" s="98" t="s">
        <v>79</v>
      </c>
      <c r="B388" s="98">
        <v>2001</v>
      </c>
      <c r="C388" s="98">
        <v>2</v>
      </c>
    </row>
    <row r="389" spans="1:3" x14ac:dyDescent="0.3">
      <c r="A389" s="98" t="s">
        <v>79</v>
      </c>
      <c r="B389" s="98">
        <v>2002</v>
      </c>
      <c r="C389" s="98">
        <v>2</v>
      </c>
    </row>
    <row r="390" spans="1:3" x14ac:dyDescent="0.3">
      <c r="A390" s="98" t="s">
        <v>79</v>
      </c>
      <c r="B390" s="98">
        <v>2003</v>
      </c>
      <c r="C390" s="98">
        <v>2</v>
      </c>
    </row>
    <row r="391" spans="1:3" x14ac:dyDescent="0.3">
      <c r="A391" s="98" t="s">
        <v>79</v>
      </c>
      <c r="B391" s="98">
        <v>2004</v>
      </c>
      <c r="C391" s="98">
        <v>2</v>
      </c>
    </row>
    <row r="392" spans="1:3" x14ac:dyDescent="0.3">
      <c r="A392" s="98" t="s">
        <v>79</v>
      </c>
      <c r="B392" s="98">
        <v>2005</v>
      </c>
      <c r="C392" s="98">
        <v>2</v>
      </c>
    </row>
    <row r="393" spans="1:3" x14ac:dyDescent="0.3">
      <c r="A393" s="98" t="s">
        <v>79</v>
      </c>
      <c r="B393" s="98">
        <v>2006</v>
      </c>
      <c r="C393" s="98">
        <v>2</v>
      </c>
    </row>
    <row r="394" spans="1:3" x14ac:dyDescent="0.3">
      <c r="A394" s="98" t="s">
        <v>79</v>
      </c>
      <c r="B394" s="98">
        <v>2007</v>
      </c>
      <c r="C394" s="98">
        <v>2</v>
      </c>
    </row>
    <row r="395" spans="1:3" x14ac:dyDescent="0.3">
      <c r="A395" s="98" t="s">
        <v>79</v>
      </c>
      <c r="B395" s="98">
        <v>2008</v>
      </c>
      <c r="C395" s="98">
        <v>2</v>
      </c>
    </row>
    <row r="396" spans="1:3" x14ac:dyDescent="0.3">
      <c r="A396" s="98" t="s">
        <v>79</v>
      </c>
      <c r="B396" s="98">
        <v>2009</v>
      </c>
      <c r="C396" s="98">
        <v>2</v>
      </c>
    </row>
    <row r="397" spans="1:3" x14ac:dyDescent="0.3">
      <c r="A397" s="98" t="s">
        <v>79</v>
      </c>
      <c r="B397" s="98">
        <v>2010</v>
      </c>
      <c r="C397" s="98">
        <v>2</v>
      </c>
    </row>
    <row r="398" spans="1:3" x14ac:dyDescent="0.3">
      <c r="A398" s="98" t="s">
        <v>79</v>
      </c>
      <c r="B398" s="98">
        <v>2011</v>
      </c>
      <c r="C398" s="98">
        <v>2</v>
      </c>
    </row>
    <row r="399" spans="1:3" x14ac:dyDescent="0.3">
      <c r="A399" s="98" t="s">
        <v>79</v>
      </c>
      <c r="B399" s="98">
        <v>2012</v>
      </c>
      <c r="C399" s="98">
        <v>2</v>
      </c>
    </row>
    <row r="400" spans="1:3" x14ac:dyDescent="0.3">
      <c r="A400" s="98" t="s">
        <v>79</v>
      </c>
      <c r="B400" s="98">
        <v>2013</v>
      </c>
      <c r="C400" s="98">
        <v>2</v>
      </c>
    </row>
    <row r="401" spans="1:3" x14ac:dyDescent="0.3">
      <c r="A401" s="98" t="s">
        <v>79</v>
      </c>
      <c r="B401" s="98">
        <v>2014</v>
      </c>
      <c r="C401" s="98">
        <v>2</v>
      </c>
    </row>
    <row r="402" spans="1:3" x14ac:dyDescent="0.3">
      <c r="A402" s="98" t="s">
        <v>79</v>
      </c>
      <c r="B402" s="98">
        <v>2015</v>
      </c>
      <c r="C402" s="98">
        <v>2</v>
      </c>
    </row>
    <row r="403" spans="1:3" x14ac:dyDescent="0.3">
      <c r="A403" s="98" t="s">
        <v>79</v>
      </c>
      <c r="B403" s="98">
        <v>2016</v>
      </c>
      <c r="C403" s="98">
        <v>2</v>
      </c>
    </row>
    <row r="404" spans="1:3" x14ac:dyDescent="0.3">
      <c r="A404" s="98" t="s">
        <v>79</v>
      </c>
      <c r="B404" s="98">
        <v>2017</v>
      </c>
      <c r="C404" s="98">
        <v>2</v>
      </c>
    </row>
    <row r="405" spans="1:3" x14ac:dyDescent="0.3">
      <c r="A405" s="98" t="s">
        <v>79</v>
      </c>
      <c r="B405" s="98">
        <v>2018</v>
      </c>
      <c r="C405" s="98">
        <v>2</v>
      </c>
    </row>
    <row r="406" spans="1:3" x14ac:dyDescent="0.3">
      <c r="A406" s="98" t="s">
        <v>79</v>
      </c>
      <c r="B406" s="98">
        <v>2019</v>
      </c>
      <c r="C406" s="98">
        <v>2</v>
      </c>
    </row>
    <row r="407" spans="1:3" x14ac:dyDescent="0.3">
      <c r="A407" s="98" t="s">
        <v>79</v>
      </c>
      <c r="B407" s="98">
        <v>2020</v>
      </c>
      <c r="C407" s="98">
        <v>2</v>
      </c>
    </row>
    <row r="408" spans="1:3" x14ac:dyDescent="0.3">
      <c r="A408" s="98" t="s">
        <v>79</v>
      </c>
      <c r="B408" s="98">
        <v>2021</v>
      </c>
      <c r="C408" s="98">
        <v>2</v>
      </c>
    </row>
    <row r="409" spans="1:3" x14ac:dyDescent="0.3">
      <c r="A409" s="98" t="s">
        <v>79</v>
      </c>
      <c r="B409" s="98">
        <v>2022</v>
      </c>
      <c r="C409" s="98">
        <v>2</v>
      </c>
    </row>
    <row r="410" spans="1:3" x14ac:dyDescent="0.3">
      <c r="A410" s="98" t="s">
        <v>80</v>
      </c>
      <c r="B410" s="98">
        <v>2001</v>
      </c>
      <c r="C410" s="98">
        <v>744.30614000000003</v>
      </c>
    </row>
    <row r="411" spans="1:3" x14ac:dyDescent="0.3">
      <c r="A411" s="98" t="s">
        <v>80</v>
      </c>
      <c r="B411" s="98">
        <v>2002</v>
      </c>
      <c r="C411" s="98">
        <v>625.49537999999995</v>
      </c>
    </row>
    <row r="412" spans="1:3" x14ac:dyDescent="0.3">
      <c r="A412" s="98" t="s">
        <v>80</v>
      </c>
      <c r="B412" s="98">
        <v>2003</v>
      </c>
      <c r="C412" s="98">
        <v>519.36420999999996</v>
      </c>
    </row>
    <row r="413" spans="1:3" x14ac:dyDescent="0.3">
      <c r="A413" s="98" t="s">
        <v>80</v>
      </c>
      <c r="B413" s="98">
        <v>2004</v>
      </c>
      <c r="C413" s="98">
        <v>481.57771000000002</v>
      </c>
    </row>
    <row r="414" spans="1:3" x14ac:dyDescent="0.3">
      <c r="A414" s="98" t="s">
        <v>80</v>
      </c>
      <c r="B414" s="98">
        <v>2005</v>
      </c>
      <c r="C414" s="98">
        <v>556.03713000000005</v>
      </c>
    </row>
    <row r="415" spans="1:3" x14ac:dyDescent="0.3">
      <c r="A415" s="98" t="s">
        <v>80</v>
      </c>
      <c r="B415" s="98">
        <v>2006</v>
      </c>
      <c r="C415" s="98">
        <v>498.06909999999999</v>
      </c>
    </row>
    <row r="416" spans="1:3" x14ac:dyDescent="0.3">
      <c r="A416" s="98" t="s">
        <v>80</v>
      </c>
      <c r="B416" s="98">
        <v>2007</v>
      </c>
      <c r="C416" s="98">
        <v>445.59269</v>
      </c>
    </row>
    <row r="417" spans="1:3" x14ac:dyDescent="0.3">
      <c r="A417" s="98" t="s">
        <v>80</v>
      </c>
      <c r="B417" s="98">
        <v>2008</v>
      </c>
      <c r="C417" s="98">
        <v>471.33506</v>
      </c>
    </row>
    <row r="418" spans="1:3" x14ac:dyDescent="0.3">
      <c r="A418" s="98" t="s">
        <v>80</v>
      </c>
      <c r="B418" s="98">
        <v>2009</v>
      </c>
      <c r="C418" s="98">
        <v>455.33596999999997</v>
      </c>
    </row>
    <row r="419" spans="1:3" x14ac:dyDescent="0.3">
      <c r="A419" s="98" t="s">
        <v>80</v>
      </c>
      <c r="B419" s="98">
        <v>2010</v>
      </c>
      <c r="C419" s="98">
        <v>490.91228999999998</v>
      </c>
    </row>
    <row r="420" spans="1:3" x14ac:dyDescent="0.3">
      <c r="A420" s="98" t="s">
        <v>80</v>
      </c>
      <c r="B420" s="98">
        <v>2011</v>
      </c>
      <c r="C420" s="98">
        <v>506.96113000000003</v>
      </c>
    </row>
    <row r="421" spans="1:3" x14ac:dyDescent="0.3">
      <c r="A421" s="98" t="s">
        <v>80</v>
      </c>
      <c r="B421" s="98">
        <v>2012</v>
      </c>
      <c r="C421" s="98">
        <v>497.16309999999999</v>
      </c>
    </row>
    <row r="422" spans="1:3" x14ac:dyDescent="0.3">
      <c r="A422" s="98" t="s">
        <v>80</v>
      </c>
      <c r="B422" s="98">
        <v>2013</v>
      </c>
      <c r="C422" s="98">
        <v>475.64136000000002</v>
      </c>
    </row>
    <row r="423" spans="1:3" x14ac:dyDescent="0.3">
      <c r="A423" s="98" t="s">
        <v>80</v>
      </c>
      <c r="B423" s="98">
        <v>2014</v>
      </c>
      <c r="C423" s="98">
        <v>540.28251</v>
      </c>
    </row>
    <row r="424" spans="1:3" x14ac:dyDescent="0.3">
      <c r="A424" s="98" t="s">
        <v>80</v>
      </c>
      <c r="B424" s="98">
        <v>2015</v>
      </c>
      <c r="C424" s="98">
        <v>602.51400999999998</v>
      </c>
    </row>
    <row r="425" spans="1:3" x14ac:dyDescent="0.3">
      <c r="A425" s="98" t="s">
        <v>80</v>
      </c>
      <c r="B425" s="98">
        <v>2016</v>
      </c>
      <c r="C425" s="98">
        <v>622.29105000000004</v>
      </c>
    </row>
    <row r="426" spans="1:3" x14ac:dyDescent="0.3">
      <c r="A426" s="98" t="s">
        <v>80</v>
      </c>
      <c r="B426" s="98">
        <v>2017</v>
      </c>
      <c r="C426" s="98">
        <v>546.94988999999998</v>
      </c>
    </row>
    <row r="427" spans="1:3" x14ac:dyDescent="0.3">
      <c r="A427" s="98" t="s">
        <v>80</v>
      </c>
      <c r="B427" s="98">
        <v>2018</v>
      </c>
      <c r="C427" s="98">
        <v>572.88820999999996</v>
      </c>
    </row>
    <row r="428" spans="1:3" x14ac:dyDescent="0.3">
      <c r="A428" s="98" t="s">
        <v>80</v>
      </c>
      <c r="B428" s="98">
        <v>2019</v>
      </c>
      <c r="C428" s="98">
        <v>583.90332999999998</v>
      </c>
    </row>
    <row r="429" spans="1:3" x14ac:dyDescent="0.3">
      <c r="A429" s="98" t="s">
        <v>80</v>
      </c>
      <c r="B429" s="98">
        <v>2020</v>
      </c>
      <c r="C429" s="98">
        <v>534.55871999999999</v>
      </c>
    </row>
    <row r="430" spans="1:3" x14ac:dyDescent="0.3">
      <c r="A430" s="98" t="s">
        <v>80</v>
      </c>
      <c r="B430" s="98">
        <v>2021</v>
      </c>
      <c r="C430" s="98">
        <v>579.16034000000002</v>
      </c>
    </row>
    <row r="431" spans="1:3" x14ac:dyDescent="0.3">
      <c r="A431" s="98" t="s">
        <v>80</v>
      </c>
      <c r="B431" s="98">
        <v>2022</v>
      </c>
      <c r="C431" s="98">
        <v>614.99811999999997</v>
      </c>
    </row>
    <row r="432" spans="1:3" x14ac:dyDescent="0.3">
      <c r="A432" s="98" t="s">
        <v>81</v>
      </c>
      <c r="B432" s="98">
        <v>2001</v>
      </c>
      <c r="C432" s="98">
        <v>1</v>
      </c>
    </row>
    <row r="433" spans="1:3" x14ac:dyDescent="0.3">
      <c r="A433" s="98" t="s">
        <v>81</v>
      </c>
      <c r="B433" s="98">
        <v>2002</v>
      </c>
      <c r="C433" s="98">
        <v>1</v>
      </c>
    </row>
    <row r="434" spans="1:3" x14ac:dyDescent="0.3">
      <c r="A434" s="98" t="s">
        <v>81</v>
      </c>
      <c r="B434" s="98">
        <v>2003</v>
      </c>
      <c r="C434" s="98">
        <v>1</v>
      </c>
    </row>
    <row r="435" spans="1:3" x14ac:dyDescent="0.3">
      <c r="A435" s="98" t="s">
        <v>81</v>
      </c>
      <c r="B435" s="98">
        <v>2004</v>
      </c>
      <c r="C435" s="98">
        <v>1</v>
      </c>
    </row>
    <row r="436" spans="1:3" x14ac:dyDescent="0.3">
      <c r="A436" s="98" t="s">
        <v>81</v>
      </c>
      <c r="B436" s="98">
        <v>2005</v>
      </c>
      <c r="C436" s="98">
        <v>1</v>
      </c>
    </row>
    <row r="437" spans="1:3" x14ac:dyDescent="0.3">
      <c r="A437" s="98" t="s">
        <v>81</v>
      </c>
      <c r="B437" s="98">
        <v>2006</v>
      </c>
      <c r="C437" s="98">
        <v>1</v>
      </c>
    </row>
    <row r="438" spans="1:3" x14ac:dyDescent="0.3">
      <c r="A438" s="98" t="s">
        <v>81</v>
      </c>
      <c r="B438" s="98">
        <v>2007</v>
      </c>
      <c r="C438" s="98">
        <v>1</v>
      </c>
    </row>
    <row r="439" spans="1:3" x14ac:dyDescent="0.3">
      <c r="A439" s="98" t="s">
        <v>81</v>
      </c>
      <c r="B439" s="98">
        <v>2008</v>
      </c>
      <c r="C439" s="98">
        <v>1</v>
      </c>
    </row>
    <row r="440" spans="1:3" x14ac:dyDescent="0.3">
      <c r="A440" s="98" t="s">
        <v>81</v>
      </c>
      <c r="B440" s="98">
        <v>2009</v>
      </c>
      <c r="C440" s="98">
        <v>1</v>
      </c>
    </row>
    <row r="441" spans="1:3" x14ac:dyDescent="0.3">
      <c r="A441" s="98" t="s">
        <v>81</v>
      </c>
      <c r="B441" s="98">
        <v>2010</v>
      </c>
      <c r="C441" s="98">
        <v>1</v>
      </c>
    </row>
    <row r="442" spans="1:3" x14ac:dyDescent="0.3">
      <c r="A442" s="98" t="s">
        <v>81</v>
      </c>
      <c r="B442" s="98">
        <v>2011</v>
      </c>
      <c r="C442" s="98">
        <v>1</v>
      </c>
    </row>
    <row r="443" spans="1:3" x14ac:dyDescent="0.3">
      <c r="A443" s="98" t="s">
        <v>81</v>
      </c>
      <c r="B443" s="98">
        <v>2012</v>
      </c>
      <c r="C443" s="98">
        <v>1</v>
      </c>
    </row>
    <row r="444" spans="1:3" x14ac:dyDescent="0.3">
      <c r="A444" s="98" t="s">
        <v>81</v>
      </c>
      <c r="B444" s="98">
        <v>2013</v>
      </c>
      <c r="C444" s="98">
        <v>1</v>
      </c>
    </row>
    <row r="445" spans="1:3" x14ac:dyDescent="0.3">
      <c r="A445" s="98" t="s">
        <v>81</v>
      </c>
      <c r="B445" s="98">
        <v>2014</v>
      </c>
      <c r="C445" s="98">
        <v>1</v>
      </c>
    </row>
    <row r="446" spans="1:3" x14ac:dyDescent="0.3">
      <c r="A446" s="98" t="s">
        <v>81</v>
      </c>
      <c r="B446" s="98">
        <v>2015</v>
      </c>
      <c r="C446" s="98">
        <v>1</v>
      </c>
    </row>
    <row r="447" spans="1:3" x14ac:dyDescent="0.3">
      <c r="A447" s="98" t="s">
        <v>81</v>
      </c>
      <c r="B447" s="98">
        <v>2016</v>
      </c>
      <c r="C447" s="98">
        <v>1</v>
      </c>
    </row>
    <row r="448" spans="1:3" x14ac:dyDescent="0.3">
      <c r="A448" s="98" t="s">
        <v>81</v>
      </c>
      <c r="B448" s="98">
        <v>2017</v>
      </c>
      <c r="C448" s="98">
        <v>1</v>
      </c>
    </row>
    <row r="449" spans="1:3" x14ac:dyDescent="0.3">
      <c r="A449" s="98" t="s">
        <v>81</v>
      </c>
      <c r="B449" s="98">
        <v>2018</v>
      </c>
      <c r="C449" s="98">
        <v>1</v>
      </c>
    </row>
    <row r="450" spans="1:3" x14ac:dyDescent="0.3">
      <c r="A450" s="98" t="s">
        <v>81</v>
      </c>
      <c r="B450" s="98">
        <v>2019</v>
      </c>
      <c r="C450" s="98">
        <v>1</v>
      </c>
    </row>
    <row r="451" spans="1:3" x14ac:dyDescent="0.3">
      <c r="A451" s="98" t="s">
        <v>81</v>
      </c>
      <c r="B451" s="98">
        <v>2020</v>
      </c>
      <c r="C451" s="98">
        <v>1</v>
      </c>
    </row>
    <row r="452" spans="1:3" x14ac:dyDescent="0.3">
      <c r="A452" s="98" t="s">
        <v>81</v>
      </c>
      <c r="B452" s="98">
        <v>2021</v>
      </c>
      <c r="C452" s="98">
        <v>1</v>
      </c>
    </row>
    <row r="453" spans="1:3" x14ac:dyDescent="0.3">
      <c r="A453" s="98" t="s">
        <v>81</v>
      </c>
      <c r="B453" s="98">
        <v>2022</v>
      </c>
      <c r="C453" s="98">
        <v>1</v>
      </c>
    </row>
    <row r="454" spans="1:3" x14ac:dyDescent="0.3">
      <c r="A454" s="98" t="s">
        <v>82</v>
      </c>
      <c r="B454" s="98">
        <v>2001</v>
      </c>
      <c r="C454" s="98">
        <v>48.18</v>
      </c>
    </row>
    <row r="455" spans="1:3" x14ac:dyDescent="0.3">
      <c r="A455" s="98" t="s">
        <v>82</v>
      </c>
      <c r="B455" s="98">
        <v>2002</v>
      </c>
      <c r="C455" s="98">
        <v>48.03</v>
      </c>
    </row>
    <row r="456" spans="1:3" x14ac:dyDescent="0.3">
      <c r="A456" s="98" t="s">
        <v>82</v>
      </c>
      <c r="B456" s="98">
        <v>2003</v>
      </c>
      <c r="C456" s="98">
        <v>45.604999999999997</v>
      </c>
    </row>
    <row r="457" spans="1:3" x14ac:dyDescent="0.3">
      <c r="A457" s="98" t="s">
        <v>82</v>
      </c>
      <c r="B457" s="98">
        <v>2004</v>
      </c>
      <c r="C457" s="98">
        <v>43.585000000000001</v>
      </c>
    </row>
    <row r="458" spans="1:3" x14ac:dyDescent="0.3">
      <c r="A458" s="98" t="s">
        <v>82</v>
      </c>
      <c r="B458" s="98">
        <v>2005</v>
      </c>
      <c r="C458" s="98">
        <v>45.064999999999998</v>
      </c>
    </row>
    <row r="459" spans="1:3" x14ac:dyDescent="0.3">
      <c r="A459" s="98" t="s">
        <v>82</v>
      </c>
      <c r="B459" s="98">
        <v>2006</v>
      </c>
      <c r="C459" s="98">
        <v>44.244999999999997</v>
      </c>
    </row>
    <row r="460" spans="1:3" x14ac:dyDescent="0.3">
      <c r="A460" s="98" t="s">
        <v>82</v>
      </c>
      <c r="B460" s="98">
        <v>2007</v>
      </c>
      <c r="C460" s="98">
        <v>39.414999999999999</v>
      </c>
    </row>
    <row r="461" spans="1:3" x14ac:dyDescent="0.3">
      <c r="A461" s="98" t="s">
        <v>82</v>
      </c>
      <c r="B461" s="98">
        <v>2008</v>
      </c>
      <c r="C461" s="98">
        <v>48.454999999999998</v>
      </c>
    </row>
    <row r="462" spans="1:3" x14ac:dyDescent="0.3">
      <c r="A462" s="98" t="s">
        <v>82</v>
      </c>
      <c r="B462" s="98">
        <v>2009</v>
      </c>
      <c r="C462" s="98">
        <v>46.68</v>
      </c>
    </row>
    <row r="463" spans="1:3" x14ac:dyDescent="0.3">
      <c r="A463" s="98" t="s">
        <v>82</v>
      </c>
      <c r="B463" s="98">
        <v>2010</v>
      </c>
      <c r="C463" s="98">
        <v>44.81</v>
      </c>
    </row>
    <row r="464" spans="1:3" x14ac:dyDescent="0.3">
      <c r="A464" s="98" t="s">
        <v>82</v>
      </c>
      <c r="B464" s="98">
        <v>2011</v>
      </c>
      <c r="C464" s="98">
        <v>53.26</v>
      </c>
    </row>
    <row r="465" spans="1:3" x14ac:dyDescent="0.3">
      <c r="A465" s="98" t="s">
        <v>82</v>
      </c>
      <c r="B465" s="98">
        <v>2012</v>
      </c>
      <c r="C465" s="98">
        <v>54.777299999999997</v>
      </c>
    </row>
    <row r="466" spans="1:3" x14ac:dyDescent="0.3">
      <c r="A466" s="98" t="s">
        <v>82</v>
      </c>
      <c r="B466" s="98">
        <v>2013</v>
      </c>
      <c r="C466" s="98">
        <v>61.896999999999998</v>
      </c>
    </row>
    <row r="467" spans="1:3" x14ac:dyDescent="0.3">
      <c r="A467" s="98" t="s">
        <v>82</v>
      </c>
      <c r="B467" s="98">
        <v>2014</v>
      </c>
      <c r="C467" s="98">
        <v>63.331499999999998</v>
      </c>
    </row>
    <row r="468" spans="1:3" x14ac:dyDescent="0.3">
      <c r="A468" s="98" t="s">
        <v>82</v>
      </c>
      <c r="B468" s="98">
        <v>2015</v>
      </c>
      <c r="C468" s="98">
        <v>66.325999999999993</v>
      </c>
    </row>
    <row r="469" spans="1:3" x14ac:dyDescent="0.3">
      <c r="A469" s="98" t="s">
        <v>82</v>
      </c>
      <c r="B469" s="98">
        <v>2016</v>
      </c>
      <c r="C469" s="98">
        <v>67.954700000000003</v>
      </c>
    </row>
    <row r="470" spans="1:3" x14ac:dyDescent="0.3">
      <c r="A470" s="98" t="s">
        <v>82</v>
      </c>
      <c r="B470" s="98">
        <v>2017</v>
      </c>
      <c r="C470" s="98">
        <v>63.927300000000002</v>
      </c>
    </row>
    <row r="471" spans="1:3" x14ac:dyDescent="0.3">
      <c r="A471" s="98" t="s">
        <v>82</v>
      </c>
      <c r="B471" s="98">
        <v>2018</v>
      </c>
      <c r="C471" s="98">
        <v>69.792299999999997</v>
      </c>
    </row>
    <row r="472" spans="1:3" x14ac:dyDescent="0.3">
      <c r="A472" s="98" t="s">
        <v>82</v>
      </c>
      <c r="B472" s="98">
        <v>2019</v>
      </c>
      <c r="C472" s="98">
        <v>71.274000000000001</v>
      </c>
    </row>
    <row r="473" spans="1:3" x14ac:dyDescent="0.3">
      <c r="A473" s="98" t="s">
        <v>82</v>
      </c>
      <c r="B473" s="98">
        <v>2020</v>
      </c>
      <c r="C473" s="98">
        <v>73.053600000000003</v>
      </c>
    </row>
    <row r="474" spans="1:3" x14ac:dyDescent="0.3">
      <c r="A474" s="98" t="s">
        <v>82</v>
      </c>
      <c r="B474" s="98">
        <v>2021</v>
      </c>
      <c r="C474" s="98">
        <v>75.348100000000002</v>
      </c>
    </row>
    <row r="475" spans="1:3" x14ac:dyDescent="0.3">
      <c r="A475" s="98" t="s">
        <v>82</v>
      </c>
      <c r="B475" s="98">
        <v>2022</v>
      </c>
      <c r="C475" s="98">
        <v>82.868499999999997</v>
      </c>
    </row>
    <row r="476" spans="1:3" x14ac:dyDescent="0.3">
      <c r="A476" s="98" t="s">
        <v>83</v>
      </c>
      <c r="B476" s="98">
        <v>2001</v>
      </c>
      <c r="C476" s="98">
        <v>6.82</v>
      </c>
    </row>
    <row r="477" spans="1:3" x14ac:dyDescent="0.3">
      <c r="A477" s="98" t="s">
        <v>83</v>
      </c>
      <c r="B477" s="98">
        <v>2002</v>
      </c>
      <c r="C477" s="98">
        <v>7.49</v>
      </c>
    </row>
    <row r="478" spans="1:3" x14ac:dyDescent="0.3">
      <c r="A478" s="98" t="s">
        <v>83</v>
      </c>
      <c r="B478" s="98">
        <v>2003</v>
      </c>
      <c r="C478" s="98">
        <v>7.83</v>
      </c>
    </row>
    <row r="479" spans="1:3" x14ac:dyDescent="0.3">
      <c r="A479" s="98" t="s">
        <v>83</v>
      </c>
      <c r="B479" s="98">
        <v>2004</v>
      </c>
      <c r="C479" s="98">
        <v>8.0500000000000007</v>
      </c>
    </row>
    <row r="480" spans="1:3" x14ac:dyDescent="0.3">
      <c r="A480" s="98" t="s">
        <v>83</v>
      </c>
      <c r="B480" s="98">
        <v>2005</v>
      </c>
      <c r="C480" s="98">
        <v>8.0399999999999991</v>
      </c>
    </row>
    <row r="481" spans="1:3" x14ac:dyDescent="0.3">
      <c r="A481" s="98" t="s">
        <v>83</v>
      </c>
      <c r="B481" s="98">
        <v>2006</v>
      </c>
      <c r="C481" s="98">
        <v>7.98</v>
      </c>
    </row>
    <row r="482" spans="1:3" x14ac:dyDescent="0.3">
      <c r="A482" s="98" t="s">
        <v>83</v>
      </c>
      <c r="B482" s="98">
        <v>2007</v>
      </c>
      <c r="C482" s="98">
        <v>7.62</v>
      </c>
    </row>
    <row r="483" spans="1:3" x14ac:dyDescent="0.3">
      <c r="A483" s="98" t="s">
        <v>83</v>
      </c>
      <c r="B483" s="98">
        <v>2008</v>
      </c>
      <c r="C483" s="98">
        <v>7.02</v>
      </c>
    </row>
    <row r="484" spans="1:3" x14ac:dyDescent="0.3">
      <c r="A484" s="98" t="s">
        <v>83</v>
      </c>
      <c r="B484" s="98">
        <v>2009</v>
      </c>
      <c r="C484" s="98">
        <v>7.02</v>
      </c>
    </row>
    <row r="485" spans="1:3" x14ac:dyDescent="0.3">
      <c r="A485" s="98" t="s">
        <v>83</v>
      </c>
      <c r="B485" s="98">
        <v>2010</v>
      </c>
      <c r="C485" s="98">
        <v>6.99</v>
      </c>
    </row>
    <row r="486" spans="1:3" x14ac:dyDescent="0.3">
      <c r="A486" s="98" t="s">
        <v>83</v>
      </c>
      <c r="B486" s="98">
        <v>2011</v>
      </c>
      <c r="C486" s="98">
        <v>6.91</v>
      </c>
    </row>
    <row r="487" spans="1:3" x14ac:dyDescent="0.3">
      <c r="A487" s="98" t="s">
        <v>83</v>
      </c>
      <c r="B487" s="98">
        <v>2012</v>
      </c>
      <c r="C487" s="98">
        <v>6.91</v>
      </c>
    </row>
    <row r="488" spans="1:3" x14ac:dyDescent="0.3">
      <c r="A488" s="98" t="s">
        <v>83</v>
      </c>
      <c r="B488" s="98">
        <v>2013</v>
      </c>
      <c r="C488" s="98">
        <v>6.91</v>
      </c>
    </row>
    <row r="489" spans="1:3" x14ac:dyDescent="0.3">
      <c r="A489" s="98" t="s">
        <v>83</v>
      </c>
      <c r="B489" s="98">
        <v>2014</v>
      </c>
      <c r="C489" s="98">
        <v>6.91</v>
      </c>
    </row>
    <row r="490" spans="1:3" x14ac:dyDescent="0.3">
      <c r="A490" s="98" t="s">
        <v>83</v>
      </c>
      <c r="B490" s="98">
        <v>2015</v>
      </c>
      <c r="C490" s="98">
        <v>6.91</v>
      </c>
    </row>
    <row r="491" spans="1:3" x14ac:dyDescent="0.3">
      <c r="A491" s="98" t="s">
        <v>83</v>
      </c>
      <c r="B491" s="98">
        <v>2016</v>
      </c>
      <c r="C491" s="98">
        <v>6.91</v>
      </c>
    </row>
    <row r="492" spans="1:3" x14ac:dyDescent="0.3">
      <c r="A492" s="98" t="s">
        <v>83</v>
      </c>
      <c r="B492" s="98">
        <v>2017</v>
      </c>
      <c r="C492" s="98">
        <v>6.91</v>
      </c>
    </row>
    <row r="493" spans="1:3" x14ac:dyDescent="0.3">
      <c r="A493" s="98" t="s">
        <v>83</v>
      </c>
      <c r="B493" s="98">
        <v>2018</v>
      </c>
      <c r="C493" s="98">
        <v>6.91</v>
      </c>
    </row>
    <row r="494" spans="1:3" x14ac:dyDescent="0.3">
      <c r="A494" s="98" t="s">
        <v>83</v>
      </c>
      <c r="B494" s="98">
        <v>2019</v>
      </c>
      <c r="C494" s="98">
        <v>6.91</v>
      </c>
    </row>
    <row r="495" spans="1:3" x14ac:dyDescent="0.3">
      <c r="A495" s="98" t="s">
        <v>83</v>
      </c>
      <c r="B495" s="98">
        <v>2020</v>
      </c>
      <c r="C495" s="98">
        <v>6.91</v>
      </c>
    </row>
    <row r="496" spans="1:3" x14ac:dyDescent="0.3">
      <c r="A496" s="98" t="s">
        <v>83</v>
      </c>
      <c r="B496" s="98">
        <v>2021</v>
      </c>
      <c r="C496" s="98">
        <v>6.91</v>
      </c>
    </row>
    <row r="497" spans="1:3" x14ac:dyDescent="0.3">
      <c r="A497" s="98" t="s">
        <v>83</v>
      </c>
      <c r="B497" s="98">
        <v>2022</v>
      </c>
      <c r="C497" s="98">
        <v>6.91</v>
      </c>
    </row>
    <row r="498" spans="1:3" x14ac:dyDescent="0.3">
      <c r="A498" s="98" t="s">
        <v>84</v>
      </c>
      <c r="B498" s="98">
        <v>2001</v>
      </c>
      <c r="C498" s="98">
        <v>2.2192555999999999</v>
      </c>
    </row>
    <row r="499" spans="1:3" x14ac:dyDescent="0.3">
      <c r="A499" s="98" t="s">
        <v>84</v>
      </c>
      <c r="B499" s="98">
        <v>2002</v>
      </c>
      <c r="C499" s="98">
        <v>1.8650043000000001</v>
      </c>
    </row>
    <row r="500" spans="1:3" x14ac:dyDescent="0.3">
      <c r="A500" s="98" t="s">
        <v>84</v>
      </c>
      <c r="B500" s="98">
        <v>2003</v>
      </c>
      <c r="C500" s="98">
        <v>1.548559</v>
      </c>
    </row>
    <row r="501" spans="1:3" x14ac:dyDescent="0.3">
      <c r="A501" s="98" t="s">
        <v>84</v>
      </c>
      <c r="B501" s="98">
        <v>2004</v>
      </c>
      <c r="C501" s="98">
        <v>1.4358930999999999</v>
      </c>
    </row>
    <row r="502" spans="1:3" x14ac:dyDescent="0.3">
      <c r="A502" s="98" t="s">
        <v>84</v>
      </c>
      <c r="B502" s="98">
        <v>2005</v>
      </c>
      <c r="C502" s="98">
        <v>1.6579046</v>
      </c>
    </row>
    <row r="503" spans="1:3" x14ac:dyDescent="0.3">
      <c r="A503" s="98" t="s">
        <v>84</v>
      </c>
      <c r="B503" s="98">
        <v>2006</v>
      </c>
      <c r="C503" s="98">
        <v>1.4850645</v>
      </c>
    </row>
    <row r="504" spans="1:3" x14ac:dyDescent="0.3">
      <c r="A504" s="98" t="s">
        <v>84</v>
      </c>
      <c r="B504" s="98">
        <v>2007</v>
      </c>
      <c r="C504" s="98">
        <v>1.3285986000000001</v>
      </c>
    </row>
    <row r="505" spans="1:3" x14ac:dyDescent="0.3">
      <c r="A505" s="98" t="s">
        <v>84</v>
      </c>
      <c r="B505" s="98">
        <v>2008</v>
      </c>
      <c r="C505" s="98">
        <v>1.4053532</v>
      </c>
    </row>
    <row r="506" spans="1:3" x14ac:dyDescent="0.3">
      <c r="A506" s="98" t="s">
        <v>84</v>
      </c>
      <c r="B506" s="98">
        <v>2009</v>
      </c>
      <c r="C506" s="98">
        <v>1.3576496</v>
      </c>
    </row>
    <row r="507" spans="1:3" x14ac:dyDescent="0.3">
      <c r="A507" s="98" t="s">
        <v>84</v>
      </c>
      <c r="B507" s="98">
        <v>2010</v>
      </c>
      <c r="C507" s="98">
        <v>1.4637255</v>
      </c>
    </row>
    <row r="508" spans="1:3" x14ac:dyDescent="0.3">
      <c r="A508" s="98" t="s">
        <v>84</v>
      </c>
      <c r="B508" s="98">
        <v>2011</v>
      </c>
      <c r="C508" s="98">
        <v>1.5115774</v>
      </c>
    </row>
    <row r="509" spans="1:3" x14ac:dyDescent="0.3">
      <c r="A509" s="98" t="s">
        <v>84</v>
      </c>
      <c r="B509" s="98">
        <v>2012</v>
      </c>
      <c r="C509" s="98">
        <v>1.4823632</v>
      </c>
    </row>
    <row r="510" spans="1:3" x14ac:dyDescent="0.3">
      <c r="A510" s="98" t="s">
        <v>84</v>
      </c>
      <c r="B510" s="98">
        <v>2013</v>
      </c>
      <c r="C510" s="98">
        <v>1.418193</v>
      </c>
    </row>
    <row r="511" spans="1:3" x14ac:dyDescent="0.3">
      <c r="A511" s="98" t="s">
        <v>84</v>
      </c>
      <c r="B511" s="98">
        <v>2014</v>
      </c>
      <c r="C511" s="98">
        <v>1.6109298999999999</v>
      </c>
    </row>
    <row r="512" spans="1:3" x14ac:dyDescent="0.3">
      <c r="A512" s="98" t="s">
        <v>84</v>
      </c>
      <c r="B512" s="98">
        <v>2015</v>
      </c>
      <c r="C512" s="98">
        <v>1.7964819999999999</v>
      </c>
    </row>
    <row r="513" spans="1:3" x14ac:dyDescent="0.3">
      <c r="A513" s="98" t="s">
        <v>84</v>
      </c>
      <c r="B513" s="98">
        <v>2016</v>
      </c>
      <c r="C513" s="98">
        <v>1.8554501000000001</v>
      </c>
    </row>
    <row r="514" spans="1:3" x14ac:dyDescent="0.3">
      <c r="A514" s="98" t="s">
        <v>84</v>
      </c>
      <c r="B514" s="98">
        <v>2017</v>
      </c>
      <c r="C514" s="98">
        <v>1.6308100000000001</v>
      </c>
    </row>
    <row r="515" spans="1:3" x14ac:dyDescent="0.3">
      <c r="A515" s="98" t="s">
        <v>84</v>
      </c>
      <c r="B515" s="98">
        <v>2018</v>
      </c>
      <c r="C515" s="98">
        <v>1.707552</v>
      </c>
    </row>
    <row r="516" spans="1:3" x14ac:dyDescent="0.3">
      <c r="A516" s="98" t="s">
        <v>84</v>
      </c>
      <c r="B516" s="98">
        <v>2019</v>
      </c>
      <c r="C516" s="98">
        <v>1.747994</v>
      </c>
    </row>
    <row r="517" spans="1:3" x14ac:dyDescent="0.3">
      <c r="A517" s="98" t="s">
        <v>84</v>
      </c>
      <c r="B517" s="98">
        <v>2020</v>
      </c>
      <c r="C517" s="98">
        <v>1.5925659999999999</v>
      </c>
    </row>
    <row r="518" spans="1:3" x14ac:dyDescent="0.3">
      <c r="A518" s="98" t="s">
        <v>84</v>
      </c>
      <c r="B518" s="98">
        <v>2021</v>
      </c>
      <c r="C518" s="98">
        <v>1.7256309999999999</v>
      </c>
    </row>
    <row r="519" spans="1:3" x14ac:dyDescent="0.3">
      <c r="A519" s="98" t="s">
        <v>84</v>
      </c>
      <c r="B519" s="98">
        <v>2022</v>
      </c>
      <c r="C519" s="98">
        <v>1.8337049999999999</v>
      </c>
    </row>
    <row r="520" spans="1:3" x14ac:dyDescent="0.3">
      <c r="A520" s="98" t="s">
        <v>85</v>
      </c>
      <c r="B520" s="98">
        <v>2001</v>
      </c>
      <c r="C520" s="98">
        <v>6.9846000000000004</v>
      </c>
    </row>
    <row r="521" spans="1:3" x14ac:dyDescent="0.3">
      <c r="A521" s="98" t="s">
        <v>85</v>
      </c>
      <c r="B521" s="98">
        <v>2002</v>
      </c>
      <c r="C521" s="98">
        <v>5.4682000000000004</v>
      </c>
    </row>
    <row r="522" spans="1:3" x14ac:dyDescent="0.3">
      <c r="A522" s="98" t="s">
        <v>85</v>
      </c>
      <c r="B522" s="98">
        <v>2003</v>
      </c>
      <c r="C522" s="98">
        <v>4.4428999999999998</v>
      </c>
    </row>
    <row r="523" spans="1:3" x14ac:dyDescent="0.3">
      <c r="A523" s="98" t="s">
        <v>85</v>
      </c>
      <c r="B523" s="98">
        <v>2004</v>
      </c>
      <c r="C523" s="98">
        <v>4.2811000000000003</v>
      </c>
    </row>
    <row r="524" spans="1:3" x14ac:dyDescent="0.3">
      <c r="A524" s="98" t="s">
        <v>85</v>
      </c>
      <c r="B524" s="98">
        <v>2005</v>
      </c>
      <c r="C524" s="98">
        <v>5.5121000000000002</v>
      </c>
    </row>
    <row r="525" spans="1:3" x14ac:dyDescent="0.3">
      <c r="A525" s="98" t="s">
        <v>85</v>
      </c>
      <c r="B525" s="98">
        <v>2006</v>
      </c>
      <c r="C525" s="98">
        <v>6.0312999999999999</v>
      </c>
    </row>
    <row r="526" spans="1:3" x14ac:dyDescent="0.3">
      <c r="A526" s="98" t="s">
        <v>85</v>
      </c>
      <c r="B526" s="98">
        <v>2007</v>
      </c>
      <c r="C526" s="98">
        <v>6.0057999999999998</v>
      </c>
    </row>
    <row r="527" spans="1:3" x14ac:dyDescent="0.3">
      <c r="A527" s="98" t="s">
        <v>85</v>
      </c>
      <c r="B527" s="98">
        <v>2008</v>
      </c>
      <c r="C527" s="98">
        <v>7.5190000000000001</v>
      </c>
    </row>
    <row r="528" spans="1:3" x14ac:dyDescent="0.3">
      <c r="A528" s="98" t="s">
        <v>85</v>
      </c>
      <c r="B528" s="98">
        <v>2009</v>
      </c>
      <c r="C528" s="98">
        <v>6.673</v>
      </c>
    </row>
    <row r="529" spans="1:3" x14ac:dyDescent="0.3">
      <c r="A529" s="98" t="s">
        <v>85</v>
      </c>
      <c r="B529" s="98">
        <v>2010</v>
      </c>
      <c r="C529" s="98">
        <v>6.4412000000000003</v>
      </c>
    </row>
    <row r="530" spans="1:3" x14ac:dyDescent="0.3">
      <c r="A530" s="98" t="s">
        <v>85</v>
      </c>
      <c r="B530" s="98">
        <v>2011</v>
      </c>
      <c r="C530" s="98">
        <v>7.5259999999999998</v>
      </c>
    </row>
    <row r="531" spans="1:3" x14ac:dyDescent="0.3">
      <c r="A531" s="98" t="s">
        <v>85</v>
      </c>
      <c r="B531" s="98">
        <v>2012</v>
      </c>
      <c r="C531" s="98">
        <v>7.7747000000000002</v>
      </c>
    </row>
    <row r="532" spans="1:3" x14ac:dyDescent="0.3">
      <c r="A532" s="98" t="s">
        <v>85</v>
      </c>
      <c r="B532" s="98">
        <v>2013</v>
      </c>
      <c r="C532" s="98">
        <v>8.7211999999999996</v>
      </c>
    </row>
    <row r="533" spans="1:3" x14ac:dyDescent="0.3">
      <c r="A533" s="98" t="s">
        <v>85</v>
      </c>
      <c r="B533" s="98">
        <v>2014</v>
      </c>
      <c r="C533" s="98">
        <v>9.5145999999999997</v>
      </c>
    </row>
    <row r="534" spans="1:3" x14ac:dyDescent="0.3">
      <c r="A534" s="98" t="s">
        <v>85</v>
      </c>
      <c r="B534" s="98">
        <v>2015</v>
      </c>
      <c r="C534" s="98">
        <v>11.235099999999999</v>
      </c>
    </row>
    <row r="535" spans="1:3" x14ac:dyDescent="0.3">
      <c r="A535" s="98" t="s">
        <v>85</v>
      </c>
      <c r="B535" s="98">
        <v>2016</v>
      </c>
      <c r="C535" s="98">
        <v>10.6486</v>
      </c>
    </row>
    <row r="536" spans="1:3" x14ac:dyDescent="0.3">
      <c r="A536" s="98" t="s">
        <v>85</v>
      </c>
      <c r="B536" s="98">
        <v>2017</v>
      </c>
      <c r="C536" s="98">
        <v>9.8683999999999994</v>
      </c>
    </row>
    <row r="537" spans="1:3" x14ac:dyDescent="0.3">
      <c r="A537" s="98" t="s">
        <v>85</v>
      </c>
      <c r="B537" s="98">
        <v>2018</v>
      </c>
      <c r="C537" s="98">
        <v>10.7334</v>
      </c>
    </row>
    <row r="538" spans="1:3" x14ac:dyDescent="0.3">
      <c r="A538" s="98" t="s">
        <v>85</v>
      </c>
      <c r="B538" s="98">
        <v>2019</v>
      </c>
      <c r="C538" s="98">
        <v>10.6214</v>
      </c>
    </row>
    <row r="539" spans="1:3" x14ac:dyDescent="0.3">
      <c r="A539" s="98" t="s">
        <v>85</v>
      </c>
      <c r="B539" s="98">
        <v>2020</v>
      </c>
      <c r="C539" s="98">
        <v>10.789400000000001</v>
      </c>
    </row>
    <row r="540" spans="1:3" x14ac:dyDescent="0.3">
      <c r="A540" s="98" t="s">
        <v>85</v>
      </c>
      <c r="B540" s="98">
        <v>2021</v>
      </c>
      <c r="C540" s="98">
        <v>11.742800000000001</v>
      </c>
    </row>
    <row r="541" spans="1:3" x14ac:dyDescent="0.3">
      <c r="A541" s="98" t="s">
        <v>85</v>
      </c>
      <c r="B541" s="98">
        <v>2022</v>
      </c>
      <c r="C541" s="98">
        <v>12.7783</v>
      </c>
    </row>
    <row r="542" spans="1:3" x14ac:dyDescent="0.3">
      <c r="A542" s="98" t="s">
        <v>86</v>
      </c>
      <c r="B542" s="98">
        <v>2001</v>
      </c>
      <c r="C542" s="98">
        <v>2.3195999999999999</v>
      </c>
    </row>
    <row r="543" spans="1:3" x14ac:dyDescent="0.3">
      <c r="A543" s="98" t="s">
        <v>86</v>
      </c>
      <c r="B543" s="98">
        <v>2002</v>
      </c>
      <c r="C543" s="98">
        <v>3.5325000000000002</v>
      </c>
    </row>
    <row r="544" spans="1:3" x14ac:dyDescent="0.3">
      <c r="A544" s="98" t="s">
        <v>86</v>
      </c>
      <c r="B544" s="98">
        <v>2003</v>
      </c>
      <c r="C544" s="98">
        <v>2.8883999999999999</v>
      </c>
    </row>
    <row r="545" spans="1:3" x14ac:dyDescent="0.3">
      <c r="A545" s="98" t="s">
        <v>86</v>
      </c>
      <c r="B545" s="98">
        <v>2004</v>
      </c>
      <c r="C545" s="98">
        <v>2.6536</v>
      </c>
    </row>
    <row r="546" spans="1:3" x14ac:dyDescent="0.3">
      <c r="A546" s="98" t="s">
        <v>86</v>
      </c>
      <c r="B546" s="98">
        <v>2005</v>
      </c>
      <c r="C546" s="98">
        <v>2.3399000000000001</v>
      </c>
    </row>
    <row r="547" spans="1:3" x14ac:dyDescent="0.3">
      <c r="A547" s="98" t="s">
        <v>86</v>
      </c>
      <c r="B547" s="98">
        <v>2006</v>
      </c>
      <c r="C547" s="98">
        <v>2.1372</v>
      </c>
    </row>
    <row r="548" spans="1:3" x14ac:dyDescent="0.3">
      <c r="A548" s="98" t="s">
        <v>86</v>
      </c>
      <c r="B548" s="98">
        <v>2007</v>
      </c>
      <c r="C548" s="98">
        <v>1.7705</v>
      </c>
    </row>
    <row r="549" spans="1:3" x14ac:dyDescent="0.3">
      <c r="A549" s="98" t="s">
        <v>86</v>
      </c>
      <c r="B549" s="98">
        <v>2008</v>
      </c>
      <c r="C549" s="98">
        <v>2.3361999999999998</v>
      </c>
    </row>
    <row r="550" spans="1:3" x14ac:dyDescent="0.3">
      <c r="A550" s="98" t="s">
        <v>86</v>
      </c>
      <c r="B550" s="98">
        <v>2009</v>
      </c>
      <c r="C550" s="98">
        <v>1.7403999999999999</v>
      </c>
    </row>
    <row r="551" spans="1:3" x14ac:dyDescent="0.3">
      <c r="A551" s="98" t="s">
        <v>86</v>
      </c>
      <c r="B551" s="98">
        <v>2010</v>
      </c>
      <c r="C551" s="98">
        <v>1.6858</v>
      </c>
    </row>
    <row r="552" spans="1:3" x14ac:dyDescent="0.3">
      <c r="A552" s="98" t="s">
        <v>86</v>
      </c>
      <c r="B552" s="98">
        <v>2011</v>
      </c>
      <c r="C552" s="98">
        <v>1.8588</v>
      </c>
    </row>
    <row r="553" spans="1:3" x14ac:dyDescent="0.3">
      <c r="A553" s="98" t="s">
        <v>86</v>
      </c>
      <c r="B553" s="98">
        <v>2012</v>
      </c>
      <c r="C553" s="98">
        <v>2.0482999999999998</v>
      </c>
    </row>
    <row r="554" spans="1:3" x14ac:dyDescent="0.3">
      <c r="A554" s="98" t="s">
        <v>86</v>
      </c>
      <c r="B554" s="98">
        <v>2013</v>
      </c>
      <c r="C554" s="98">
        <v>2.3538000000000001</v>
      </c>
    </row>
    <row r="555" spans="1:3" x14ac:dyDescent="0.3">
      <c r="A555" s="98" t="s">
        <v>86</v>
      </c>
      <c r="B555" s="98">
        <v>2014</v>
      </c>
      <c r="C555" s="98">
        <v>2.6562000000000001</v>
      </c>
    </row>
    <row r="556" spans="1:3" x14ac:dyDescent="0.3">
      <c r="A556" s="98" t="s">
        <v>86</v>
      </c>
      <c r="B556" s="98">
        <v>2015</v>
      </c>
      <c r="C556" s="98">
        <v>3.9047999999999998</v>
      </c>
    </row>
    <row r="557" spans="1:3" x14ac:dyDescent="0.3">
      <c r="A557" s="98" t="s">
        <v>86</v>
      </c>
      <c r="B557" s="98">
        <v>2016</v>
      </c>
      <c r="C557" s="98">
        <v>3.2585000000000002</v>
      </c>
    </row>
    <row r="558" spans="1:3" x14ac:dyDescent="0.3">
      <c r="A558" s="98" t="s">
        <v>86</v>
      </c>
      <c r="B558" s="98">
        <v>2017</v>
      </c>
      <c r="C558" s="98">
        <v>3.3073999999999999</v>
      </c>
    </row>
    <row r="559" spans="1:3" x14ac:dyDescent="0.3">
      <c r="A559" s="98" t="s">
        <v>86</v>
      </c>
      <c r="B559" s="98">
        <v>2018</v>
      </c>
      <c r="C559" s="98">
        <v>3.8742000000000001</v>
      </c>
    </row>
    <row r="560" spans="1:3" x14ac:dyDescent="0.3">
      <c r="A560" s="98" t="s">
        <v>86</v>
      </c>
      <c r="B560" s="98">
        <v>2019</v>
      </c>
      <c r="C560" s="98">
        <v>4.0301</v>
      </c>
    </row>
    <row r="561" spans="1:3" x14ac:dyDescent="0.3">
      <c r="A561" s="98" t="s">
        <v>86</v>
      </c>
      <c r="B561" s="98">
        <v>2020</v>
      </c>
      <c r="C561" s="98">
        <v>5.1961000000000004</v>
      </c>
    </row>
    <row r="562" spans="1:3" x14ac:dyDescent="0.3">
      <c r="A562" s="98" t="s">
        <v>86</v>
      </c>
      <c r="B562" s="98">
        <v>2021</v>
      </c>
      <c r="C562" s="98">
        <v>5.5799000000000003</v>
      </c>
    </row>
    <row r="563" spans="1:3" x14ac:dyDescent="0.3">
      <c r="A563" s="98" t="s">
        <v>86</v>
      </c>
      <c r="B563" s="98">
        <v>2022</v>
      </c>
      <c r="C563" s="98">
        <v>5.2171000000000003</v>
      </c>
    </row>
    <row r="564" spans="1:3" x14ac:dyDescent="0.3">
      <c r="A564" s="98" t="s">
        <v>87</v>
      </c>
      <c r="B564" s="98">
        <v>2001</v>
      </c>
      <c r="C564" s="98">
        <v>1.8512389</v>
      </c>
    </row>
    <row r="565" spans="1:3" x14ac:dyDescent="0.3">
      <c r="A565" s="98" t="s">
        <v>87</v>
      </c>
      <c r="B565" s="98">
        <v>2002</v>
      </c>
      <c r="C565" s="98">
        <v>1.7367241</v>
      </c>
    </row>
    <row r="566" spans="1:3" x14ac:dyDescent="0.3">
      <c r="A566" s="98" t="s">
        <v>87</v>
      </c>
      <c r="B566" s="98">
        <v>2003</v>
      </c>
      <c r="C566" s="98">
        <v>1.7010194999999999</v>
      </c>
    </row>
    <row r="567" spans="1:3" x14ac:dyDescent="0.3">
      <c r="A567" s="98" t="s">
        <v>87</v>
      </c>
      <c r="B567" s="98">
        <v>2004</v>
      </c>
      <c r="C567" s="98">
        <v>1.6340109</v>
      </c>
    </row>
    <row r="568" spans="1:3" x14ac:dyDescent="0.3">
      <c r="A568" s="98" t="s">
        <v>87</v>
      </c>
      <c r="B568" s="98">
        <v>2005</v>
      </c>
      <c r="C568" s="98">
        <v>1.6644148000000001</v>
      </c>
    </row>
    <row r="569" spans="1:3" x14ac:dyDescent="0.3">
      <c r="A569" s="98" t="s">
        <v>87</v>
      </c>
      <c r="B569" s="98">
        <v>2006</v>
      </c>
      <c r="C569" s="98">
        <v>1.5337978999999999</v>
      </c>
    </row>
    <row r="570" spans="1:3" x14ac:dyDescent="0.3">
      <c r="A570" s="98" t="s">
        <v>87</v>
      </c>
      <c r="B570" s="98">
        <v>2007</v>
      </c>
      <c r="C570" s="98">
        <v>1.4413860000000001</v>
      </c>
    </row>
    <row r="571" spans="1:3" x14ac:dyDescent="0.3">
      <c r="A571" s="98" t="s">
        <v>87</v>
      </c>
      <c r="B571" s="98">
        <v>2008</v>
      </c>
      <c r="C571" s="98">
        <v>1.4393857999999999</v>
      </c>
    </row>
    <row r="572" spans="1:3" x14ac:dyDescent="0.3">
      <c r="A572" s="98" t="s">
        <v>87</v>
      </c>
      <c r="B572" s="98">
        <v>2009</v>
      </c>
      <c r="C572" s="98">
        <v>1.4034</v>
      </c>
    </row>
    <row r="573" spans="1:3" x14ac:dyDescent="0.3">
      <c r="A573" s="98" t="s">
        <v>87</v>
      </c>
      <c r="B573" s="98">
        <v>2010</v>
      </c>
      <c r="C573" s="98">
        <v>1.292</v>
      </c>
    </row>
    <row r="574" spans="1:3" x14ac:dyDescent="0.3">
      <c r="A574" s="98" t="s">
        <v>87</v>
      </c>
      <c r="B574" s="98">
        <v>2011</v>
      </c>
      <c r="C574" s="98">
        <v>1.3007</v>
      </c>
    </row>
    <row r="575" spans="1:3" x14ac:dyDescent="0.3">
      <c r="A575" s="98" t="s">
        <v>87</v>
      </c>
      <c r="B575" s="98">
        <v>2012</v>
      </c>
      <c r="C575" s="98">
        <v>1.2235</v>
      </c>
    </row>
    <row r="576" spans="1:3" x14ac:dyDescent="0.3">
      <c r="A576" s="98" t="s">
        <v>87</v>
      </c>
      <c r="B576" s="98">
        <v>2013</v>
      </c>
      <c r="C576" s="98">
        <v>1.2693000000000001</v>
      </c>
    </row>
    <row r="577" spans="1:3" x14ac:dyDescent="0.3">
      <c r="A577" s="98" t="s">
        <v>87</v>
      </c>
      <c r="B577" s="98">
        <v>2014</v>
      </c>
      <c r="C577" s="98">
        <v>1.3212999999999999</v>
      </c>
    </row>
    <row r="578" spans="1:3" x14ac:dyDescent="0.3">
      <c r="A578" s="98" t="s">
        <v>87</v>
      </c>
      <c r="B578" s="98">
        <v>2015</v>
      </c>
      <c r="C578" s="98">
        <v>1.4138999999999999</v>
      </c>
    </row>
    <row r="579" spans="1:3" x14ac:dyDescent="0.3">
      <c r="A579" s="98" t="s">
        <v>87</v>
      </c>
      <c r="B579" s="98">
        <v>2016</v>
      </c>
      <c r="C579" s="98">
        <v>1.4462999999999999</v>
      </c>
    </row>
    <row r="580" spans="1:3" x14ac:dyDescent="0.3">
      <c r="A580" s="98" t="s">
        <v>87</v>
      </c>
      <c r="B580" s="98">
        <v>2017</v>
      </c>
      <c r="C580" s="98">
        <v>1.3366</v>
      </c>
    </row>
    <row r="581" spans="1:3" x14ac:dyDescent="0.3">
      <c r="A581" s="98" t="s">
        <v>87</v>
      </c>
      <c r="B581" s="98">
        <v>2018</v>
      </c>
      <c r="C581" s="98">
        <v>1.3685</v>
      </c>
    </row>
    <row r="582" spans="1:3" x14ac:dyDescent="0.3">
      <c r="A582" s="98" t="s">
        <v>87</v>
      </c>
      <c r="B582" s="98">
        <v>2019</v>
      </c>
      <c r="C582" s="98">
        <v>1.3498000000000001</v>
      </c>
    </row>
    <row r="583" spans="1:3" x14ac:dyDescent="0.3">
      <c r="A583" s="98" t="s">
        <v>87</v>
      </c>
      <c r="B583" s="98">
        <v>2020</v>
      </c>
      <c r="C583" s="98">
        <v>1.3351999999999999</v>
      </c>
    </row>
    <row r="584" spans="1:3" x14ac:dyDescent="0.3">
      <c r="A584" s="98" t="s">
        <v>87</v>
      </c>
      <c r="B584" s="98">
        <v>2021</v>
      </c>
      <c r="C584" s="98">
        <v>1.3614999999999999</v>
      </c>
    </row>
    <row r="585" spans="1:3" x14ac:dyDescent="0.3">
      <c r="A585" s="98" t="s">
        <v>87</v>
      </c>
      <c r="B585" s="98">
        <v>2022</v>
      </c>
      <c r="C585" s="98">
        <v>1.3522000000000001</v>
      </c>
    </row>
    <row r="586" spans="1:3" x14ac:dyDescent="0.3">
      <c r="A586" s="98" t="s">
        <v>88</v>
      </c>
      <c r="B586" s="98">
        <v>2001</v>
      </c>
      <c r="C586" s="98">
        <v>2.2193000000000001</v>
      </c>
    </row>
    <row r="587" spans="1:3" x14ac:dyDescent="0.3">
      <c r="A587" s="98" t="s">
        <v>88</v>
      </c>
      <c r="B587" s="98">
        <v>2002</v>
      </c>
      <c r="C587" s="98">
        <v>1.885</v>
      </c>
    </row>
    <row r="588" spans="1:3" x14ac:dyDescent="0.3">
      <c r="A588" s="98" t="s">
        <v>88</v>
      </c>
      <c r="B588" s="98">
        <v>2003</v>
      </c>
      <c r="C588" s="98">
        <v>1.5486</v>
      </c>
    </row>
    <row r="589" spans="1:3" x14ac:dyDescent="0.3">
      <c r="A589" s="98" t="s">
        <v>88</v>
      </c>
      <c r="B589" s="98">
        <v>2004</v>
      </c>
      <c r="C589" s="98">
        <v>1.4359</v>
      </c>
    </row>
    <row r="590" spans="1:3" x14ac:dyDescent="0.3">
      <c r="A590" s="98" t="s">
        <v>88</v>
      </c>
      <c r="B590" s="98">
        <v>2005</v>
      </c>
      <c r="C590" s="98">
        <v>1.6578999999999999</v>
      </c>
    </row>
    <row r="591" spans="1:3" x14ac:dyDescent="0.3">
      <c r="A591" s="98" t="s">
        <v>88</v>
      </c>
      <c r="B591" s="98">
        <v>2006</v>
      </c>
      <c r="C591" s="98">
        <v>1.4851000000000001</v>
      </c>
    </row>
    <row r="592" spans="1:3" x14ac:dyDescent="0.3">
      <c r="A592" s="98" t="s">
        <v>88</v>
      </c>
      <c r="B592" s="98">
        <v>2007</v>
      </c>
      <c r="C592" s="98">
        <v>1.3311999999999999</v>
      </c>
    </row>
    <row r="593" spans="1:3" x14ac:dyDescent="0.3">
      <c r="A593" s="98" t="s">
        <v>88</v>
      </c>
      <c r="B593" s="98">
        <v>2008</v>
      </c>
      <c r="C593" s="98">
        <v>1.3873</v>
      </c>
    </row>
    <row r="594" spans="1:3" x14ac:dyDescent="0.3">
      <c r="A594" s="98" t="s">
        <v>88</v>
      </c>
      <c r="B594" s="98">
        <v>2009</v>
      </c>
      <c r="C594" s="98">
        <v>1.3641000000000001</v>
      </c>
    </row>
    <row r="595" spans="1:3" x14ac:dyDescent="0.3">
      <c r="A595" s="98" t="s">
        <v>88</v>
      </c>
      <c r="B595" s="98">
        <v>2010</v>
      </c>
      <c r="C595" s="98">
        <v>1.4728000000000001</v>
      </c>
    </row>
    <row r="596" spans="1:3" x14ac:dyDescent="0.3">
      <c r="A596" s="98" t="s">
        <v>88</v>
      </c>
      <c r="B596" s="98">
        <v>2011</v>
      </c>
      <c r="C596" s="98">
        <v>1.5116000000000001</v>
      </c>
    </row>
    <row r="597" spans="1:3" x14ac:dyDescent="0.3">
      <c r="A597" s="98" t="s">
        <v>88</v>
      </c>
      <c r="B597" s="98">
        <v>2012</v>
      </c>
      <c r="C597" s="98">
        <v>1.4836</v>
      </c>
    </row>
    <row r="598" spans="1:3" x14ac:dyDescent="0.3">
      <c r="A598" s="98" t="s">
        <v>88</v>
      </c>
      <c r="B598" s="98">
        <v>2013</v>
      </c>
      <c r="C598" s="98">
        <v>1.419</v>
      </c>
    </row>
    <row r="599" spans="1:3" x14ac:dyDescent="0.3">
      <c r="A599" s="98" t="s">
        <v>88</v>
      </c>
      <c r="B599" s="98">
        <v>2014</v>
      </c>
      <c r="C599" s="98">
        <v>1.6084000000000001</v>
      </c>
    </row>
    <row r="600" spans="1:3" x14ac:dyDescent="0.3">
      <c r="A600" s="98" t="s">
        <v>88</v>
      </c>
      <c r="B600" s="98">
        <v>2015</v>
      </c>
      <c r="C600" s="98">
        <v>1.7901</v>
      </c>
    </row>
    <row r="601" spans="1:3" x14ac:dyDescent="0.3">
      <c r="A601" s="98" t="s">
        <v>88</v>
      </c>
      <c r="B601" s="98">
        <v>2016</v>
      </c>
      <c r="C601" s="98">
        <v>1.8554999999999999</v>
      </c>
    </row>
    <row r="602" spans="1:3" x14ac:dyDescent="0.3">
      <c r="A602" s="98" t="s">
        <v>88</v>
      </c>
      <c r="B602" s="98">
        <v>2017</v>
      </c>
      <c r="C602" s="98">
        <v>1.6308</v>
      </c>
    </row>
    <row r="603" spans="1:3" x14ac:dyDescent="0.3">
      <c r="A603" s="98" t="s">
        <v>88</v>
      </c>
      <c r="B603" s="98">
        <v>2018</v>
      </c>
      <c r="C603" s="98">
        <v>1.7081999999999999</v>
      </c>
    </row>
    <row r="604" spans="1:3" x14ac:dyDescent="0.3">
      <c r="A604" s="98" t="s">
        <v>88</v>
      </c>
      <c r="B604" s="98">
        <v>2019</v>
      </c>
      <c r="C604" s="98">
        <v>1.7410000000000001</v>
      </c>
    </row>
    <row r="605" spans="1:3" x14ac:dyDescent="0.3">
      <c r="A605" s="98" t="s">
        <v>88</v>
      </c>
      <c r="B605" s="98">
        <v>2020</v>
      </c>
      <c r="C605" s="98">
        <v>1.5939000000000001</v>
      </c>
    </row>
    <row r="606" spans="1:3" x14ac:dyDescent="0.3">
      <c r="A606" s="98" t="s">
        <v>88</v>
      </c>
      <c r="B606" s="98">
        <v>2021</v>
      </c>
      <c r="C606" s="98">
        <v>1.7269000000000001</v>
      </c>
    </row>
    <row r="607" spans="1:3" x14ac:dyDescent="0.3">
      <c r="A607" s="98" t="s">
        <v>88</v>
      </c>
      <c r="B607" s="98">
        <v>2022</v>
      </c>
      <c r="C607" s="98">
        <v>1.8337000000000001</v>
      </c>
    </row>
    <row r="608" spans="1:3" x14ac:dyDescent="0.3">
      <c r="A608" s="98" t="s">
        <v>89</v>
      </c>
      <c r="B608" s="98">
        <v>2001</v>
      </c>
      <c r="C608" s="98">
        <v>744.30614000000003</v>
      </c>
    </row>
    <row r="609" spans="1:3" x14ac:dyDescent="0.3">
      <c r="A609" s="98" t="s">
        <v>89</v>
      </c>
      <c r="B609" s="98">
        <v>2002</v>
      </c>
      <c r="C609" s="98">
        <v>625.49537999999995</v>
      </c>
    </row>
    <row r="610" spans="1:3" x14ac:dyDescent="0.3">
      <c r="A610" s="98" t="s">
        <v>89</v>
      </c>
      <c r="B610" s="98">
        <v>2003</v>
      </c>
      <c r="C610" s="98">
        <v>519.36420999999996</v>
      </c>
    </row>
    <row r="611" spans="1:3" x14ac:dyDescent="0.3">
      <c r="A611" s="98" t="s">
        <v>89</v>
      </c>
      <c r="B611" s="98">
        <v>2004</v>
      </c>
      <c r="C611" s="98">
        <v>481.57771000000002</v>
      </c>
    </row>
    <row r="612" spans="1:3" x14ac:dyDescent="0.3">
      <c r="A612" s="98" t="s">
        <v>89</v>
      </c>
      <c r="B612" s="98">
        <v>2005</v>
      </c>
      <c r="C612" s="98">
        <v>556.03713000000005</v>
      </c>
    </row>
    <row r="613" spans="1:3" x14ac:dyDescent="0.3">
      <c r="A613" s="98" t="s">
        <v>89</v>
      </c>
      <c r="B613" s="98">
        <v>2006</v>
      </c>
      <c r="C613" s="98">
        <v>498.06909999999999</v>
      </c>
    </row>
    <row r="614" spans="1:3" x14ac:dyDescent="0.3">
      <c r="A614" s="98" t="s">
        <v>89</v>
      </c>
      <c r="B614" s="98">
        <v>2007</v>
      </c>
      <c r="C614" s="98">
        <v>445.59269</v>
      </c>
    </row>
    <row r="615" spans="1:3" x14ac:dyDescent="0.3">
      <c r="A615" s="98" t="s">
        <v>89</v>
      </c>
      <c r="B615" s="98">
        <v>2008</v>
      </c>
      <c r="C615" s="98">
        <v>471.33506</v>
      </c>
    </row>
    <row r="616" spans="1:3" x14ac:dyDescent="0.3">
      <c r="A616" s="98" t="s">
        <v>89</v>
      </c>
      <c r="B616" s="98">
        <v>2009</v>
      </c>
      <c r="C616" s="98">
        <v>455.33596999999997</v>
      </c>
    </row>
    <row r="617" spans="1:3" x14ac:dyDescent="0.3">
      <c r="A617" s="98" t="s">
        <v>89</v>
      </c>
      <c r="B617" s="98">
        <v>2010</v>
      </c>
      <c r="C617" s="98">
        <v>490.91228999999998</v>
      </c>
    </row>
    <row r="618" spans="1:3" x14ac:dyDescent="0.3">
      <c r="A618" s="98" t="s">
        <v>89</v>
      </c>
      <c r="B618" s="98">
        <v>2011</v>
      </c>
      <c r="C618" s="98">
        <v>506.96113000000003</v>
      </c>
    </row>
    <row r="619" spans="1:3" x14ac:dyDescent="0.3">
      <c r="A619" s="98" t="s">
        <v>89</v>
      </c>
      <c r="B619" s="98">
        <v>2012</v>
      </c>
      <c r="C619" s="98">
        <v>497.16309999999999</v>
      </c>
    </row>
    <row r="620" spans="1:3" x14ac:dyDescent="0.3">
      <c r="A620" s="98" t="s">
        <v>89</v>
      </c>
      <c r="B620" s="98">
        <v>2013</v>
      </c>
      <c r="C620" s="98">
        <v>475.64136000000002</v>
      </c>
    </row>
    <row r="621" spans="1:3" x14ac:dyDescent="0.3">
      <c r="A621" s="98" t="s">
        <v>89</v>
      </c>
      <c r="B621" s="98">
        <v>2014</v>
      </c>
      <c r="C621" s="98">
        <v>540.28251</v>
      </c>
    </row>
    <row r="622" spans="1:3" x14ac:dyDescent="0.3">
      <c r="A622" s="98" t="s">
        <v>89</v>
      </c>
      <c r="B622" s="98">
        <v>2015</v>
      </c>
      <c r="C622" s="98">
        <v>602.51400999999998</v>
      </c>
    </row>
    <row r="623" spans="1:3" x14ac:dyDescent="0.3">
      <c r="A623" s="98" t="s">
        <v>89</v>
      </c>
      <c r="B623" s="98">
        <v>2016</v>
      </c>
      <c r="C623" s="98">
        <v>622.29105000000004</v>
      </c>
    </row>
    <row r="624" spans="1:3" x14ac:dyDescent="0.3">
      <c r="A624" s="98" t="s">
        <v>89</v>
      </c>
      <c r="B624" s="98">
        <v>2017</v>
      </c>
      <c r="C624" s="98">
        <v>546.94988999999998</v>
      </c>
    </row>
    <row r="625" spans="1:3" x14ac:dyDescent="0.3">
      <c r="A625" s="98" t="s">
        <v>89</v>
      </c>
      <c r="B625" s="98">
        <v>2018</v>
      </c>
      <c r="C625" s="98">
        <v>572.88820999999996</v>
      </c>
    </row>
    <row r="626" spans="1:3" x14ac:dyDescent="0.3">
      <c r="A626" s="98" t="s">
        <v>89</v>
      </c>
      <c r="B626" s="98">
        <v>2019</v>
      </c>
      <c r="C626" s="98">
        <v>583.90332999999998</v>
      </c>
    </row>
    <row r="627" spans="1:3" x14ac:dyDescent="0.3">
      <c r="A627" s="98" t="s">
        <v>89</v>
      </c>
      <c r="B627" s="98">
        <v>2020</v>
      </c>
      <c r="C627" s="98">
        <v>534.55871999999999</v>
      </c>
    </row>
    <row r="628" spans="1:3" x14ac:dyDescent="0.3">
      <c r="A628" s="98" t="s">
        <v>89</v>
      </c>
      <c r="B628" s="98">
        <v>2021</v>
      </c>
      <c r="C628" s="98">
        <v>579.16034000000002</v>
      </c>
    </row>
    <row r="629" spans="1:3" x14ac:dyDescent="0.3">
      <c r="A629" s="98" t="s">
        <v>89</v>
      </c>
      <c r="B629" s="98">
        <v>2022</v>
      </c>
      <c r="C629" s="98">
        <v>614.99811999999997</v>
      </c>
    </row>
    <row r="630" spans="1:3" x14ac:dyDescent="0.3">
      <c r="A630" s="98" t="s">
        <v>90</v>
      </c>
      <c r="B630" s="98">
        <v>2001</v>
      </c>
      <c r="C630" s="98">
        <v>864.2</v>
      </c>
    </row>
    <row r="631" spans="1:3" x14ac:dyDescent="0.3">
      <c r="A631" s="98" t="s">
        <v>90</v>
      </c>
      <c r="B631" s="98">
        <v>2002</v>
      </c>
      <c r="C631" s="98">
        <v>1071.23</v>
      </c>
    </row>
    <row r="632" spans="1:3" x14ac:dyDescent="0.3">
      <c r="A632" s="98" t="s">
        <v>90</v>
      </c>
      <c r="B632" s="98">
        <v>2003</v>
      </c>
      <c r="C632" s="98">
        <v>1093</v>
      </c>
    </row>
    <row r="633" spans="1:3" x14ac:dyDescent="0.3">
      <c r="A633" s="98" t="s">
        <v>90</v>
      </c>
      <c r="B633" s="98">
        <v>2004</v>
      </c>
      <c r="C633" s="98">
        <v>1109.51</v>
      </c>
    </row>
    <row r="634" spans="1:3" x14ac:dyDescent="0.3">
      <c r="A634" s="98" t="s">
        <v>90</v>
      </c>
      <c r="B634" s="98">
        <v>2005</v>
      </c>
      <c r="C634" s="98">
        <v>997.78</v>
      </c>
    </row>
    <row r="635" spans="1:3" x14ac:dyDescent="0.3">
      <c r="A635" s="98" t="s">
        <v>90</v>
      </c>
      <c r="B635" s="98">
        <v>2006</v>
      </c>
      <c r="C635" s="98">
        <v>1002.47</v>
      </c>
    </row>
    <row r="636" spans="1:3" x14ac:dyDescent="0.3">
      <c r="A636" s="98" t="s">
        <v>90</v>
      </c>
      <c r="B636" s="98">
        <v>2007</v>
      </c>
      <c r="C636" s="98">
        <v>1119.54</v>
      </c>
    </row>
    <row r="637" spans="1:3" x14ac:dyDescent="0.3">
      <c r="A637" s="98" t="s">
        <v>90</v>
      </c>
      <c r="B637" s="98">
        <v>2008</v>
      </c>
      <c r="C637" s="98">
        <v>1234.98</v>
      </c>
    </row>
    <row r="638" spans="1:3" x14ac:dyDescent="0.3">
      <c r="A638" s="98" t="s">
        <v>90</v>
      </c>
      <c r="B638" s="98">
        <v>2009</v>
      </c>
      <c r="C638" s="98">
        <v>1230.5</v>
      </c>
    </row>
    <row r="639" spans="1:3" x14ac:dyDescent="0.3">
      <c r="A639" s="98" t="s">
        <v>90</v>
      </c>
      <c r="B639" s="98">
        <v>2010</v>
      </c>
      <c r="C639" s="98">
        <v>1232.5</v>
      </c>
    </row>
    <row r="640" spans="1:3" x14ac:dyDescent="0.3">
      <c r="A640" s="98" t="s">
        <v>90</v>
      </c>
      <c r="B640" s="98">
        <v>2011</v>
      </c>
      <c r="C640" s="98">
        <v>1361.5</v>
      </c>
    </row>
    <row r="641" spans="1:3" x14ac:dyDescent="0.3">
      <c r="A641" s="98" t="s">
        <v>90</v>
      </c>
      <c r="B641" s="98">
        <v>2012</v>
      </c>
      <c r="C641" s="98">
        <v>1546.07</v>
      </c>
    </row>
    <row r="642" spans="1:3" x14ac:dyDescent="0.3">
      <c r="A642" s="98" t="s">
        <v>90</v>
      </c>
      <c r="B642" s="98">
        <v>2013</v>
      </c>
      <c r="C642" s="98">
        <v>1541.99</v>
      </c>
    </row>
    <row r="643" spans="1:3" x14ac:dyDescent="0.3">
      <c r="A643" s="98" t="s">
        <v>90</v>
      </c>
      <c r="B643" s="98">
        <v>2014</v>
      </c>
      <c r="C643" s="98">
        <v>1553.05</v>
      </c>
    </row>
    <row r="644" spans="1:3" x14ac:dyDescent="0.3">
      <c r="A644" s="98" t="s">
        <v>90</v>
      </c>
      <c r="B644" s="98">
        <v>2015</v>
      </c>
      <c r="C644" s="98">
        <v>1617.13</v>
      </c>
    </row>
    <row r="645" spans="1:3" x14ac:dyDescent="0.3">
      <c r="A645" s="98" t="s">
        <v>90</v>
      </c>
      <c r="B645" s="98">
        <v>2016</v>
      </c>
      <c r="C645" s="98">
        <v>1688.59</v>
      </c>
    </row>
    <row r="646" spans="1:3" x14ac:dyDescent="0.3">
      <c r="A646" s="98" t="s">
        <v>90</v>
      </c>
      <c r="B646" s="98">
        <v>2017</v>
      </c>
      <c r="C646" s="98">
        <v>1766.7</v>
      </c>
    </row>
    <row r="647" spans="1:3" x14ac:dyDescent="0.3">
      <c r="A647" s="98" t="s">
        <v>90</v>
      </c>
      <c r="B647" s="98">
        <v>2018</v>
      </c>
      <c r="C647" s="98">
        <v>1808.27</v>
      </c>
    </row>
    <row r="648" spans="1:3" x14ac:dyDescent="0.3">
      <c r="A648" s="98" t="s">
        <v>90</v>
      </c>
      <c r="B648" s="98">
        <v>2019</v>
      </c>
      <c r="C648" s="98">
        <v>1881.6</v>
      </c>
    </row>
    <row r="649" spans="1:3" x14ac:dyDescent="0.3">
      <c r="A649" s="98" t="s">
        <v>90</v>
      </c>
      <c r="B649" s="98">
        <v>2020</v>
      </c>
      <c r="C649" s="98">
        <v>1946.4</v>
      </c>
    </row>
    <row r="650" spans="1:3" x14ac:dyDescent="0.3">
      <c r="A650" s="98" t="s">
        <v>90</v>
      </c>
      <c r="B650" s="98">
        <v>2021</v>
      </c>
      <c r="C650" s="98">
        <v>2006.1</v>
      </c>
    </row>
    <row r="651" spans="1:3" x14ac:dyDescent="0.3">
      <c r="A651" s="98" t="s">
        <v>90</v>
      </c>
      <c r="B651" s="98">
        <v>2022</v>
      </c>
      <c r="C651" s="98">
        <v>2063.4499999999998</v>
      </c>
    </row>
    <row r="652" spans="1:3" x14ac:dyDescent="0.3">
      <c r="A652" s="98" t="s">
        <v>91</v>
      </c>
      <c r="B652" s="98">
        <v>2001</v>
      </c>
      <c r="C652" s="98">
        <v>124.97450000000001</v>
      </c>
    </row>
    <row r="653" spans="1:3" x14ac:dyDescent="0.3">
      <c r="A653" s="98" t="s">
        <v>91</v>
      </c>
      <c r="B653" s="98">
        <v>2002</v>
      </c>
      <c r="C653" s="98">
        <v>108.795</v>
      </c>
    </row>
    <row r="654" spans="1:3" x14ac:dyDescent="0.3">
      <c r="A654" s="98" t="s">
        <v>91</v>
      </c>
      <c r="B654" s="98">
        <v>2003</v>
      </c>
      <c r="C654" s="98">
        <v>88.24</v>
      </c>
    </row>
    <row r="655" spans="1:3" x14ac:dyDescent="0.3">
      <c r="A655" s="98" t="s">
        <v>91</v>
      </c>
      <c r="B655" s="98">
        <v>2004</v>
      </c>
      <c r="C655" s="98">
        <v>81.0535</v>
      </c>
    </row>
    <row r="656" spans="1:3" x14ac:dyDescent="0.3">
      <c r="A656" s="98" t="s">
        <v>91</v>
      </c>
      <c r="B656" s="98">
        <v>2005</v>
      </c>
      <c r="C656" s="98">
        <v>93.247</v>
      </c>
    </row>
    <row r="657" spans="1:3" x14ac:dyDescent="0.3">
      <c r="A657" s="98" t="s">
        <v>91</v>
      </c>
      <c r="B657" s="98">
        <v>2006</v>
      </c>
      <c r="C657" s="98">
        <v>83.704999999999998</v>
      </c>
    </row>
    <row r="658" spans="1:3" x14ac:dyDescent="0.3">
      <c r="A658" s="98" t="s">
        <v>91</v>
      </c>
      <c r="B658" s="98">
        <v>2007</v>
      </c>
      <c r="C658" s="98">
        <v>75.051000000000002</v>
      </c>
    </row>
    <row r="659" spans="1:3" x14ac:dyDescent="0.3">
      <c r="A659" s="98" t="s">
        <v>91</v>
      </c>
      <c r="B659" s="98">
        <v>2008</v>
      </c>
      <c r="C659" s="98">
        <v>78.212999999999994</v>
      </c>
    </row>
    <row r="660" spans="1:3" x14ac:dyDescent="0.3">
      <c r="A660" s="98" t="s">
        <v>91</v>
      </c>
      <c r="B660" s="98">
        <v>2009</v>
      </c>
      <c r="C660" s="98">
        <v>76.903999999999996</v>
      </c>
    </row>
    <row r="661" spans="1:3" x14ac:dyDescent="0.3">
      <c r="A661" s="98" t="s">
        <v>91</v>
      </c>
      <c r="B661" s="98">
        <v>2010</v>
      </c>
      <c r="C661" s="98">
        <v>83.031000000000006</v>
      </c>
    </row>
    <row r="662" spans="1:3" x14ac:dyDescent="0.3">
      <c r="A662" s="98" t="s">
        <v>91</v>
      </c>
      <c r="B662" s="98">
        <v>2011</v>
      </c>
      <c r="C662" s="98">
        <v>85.55</v>
      </c>
    </row>
    <row r="663" spans="1:3" x14ac:dyDescent="0.3">
      <c r="A663" s="98" t="s">
        <v>91</v>
      </c>
      <c r="B663" s="98">
        <v>2012</v>
      </c>
      <c r="C663" s="98">
        <v>83.1</v>
      </c>
    </row>
    <row r="664" spans="1:3" x14ac:dyDescent="0.3">
      <c r="A664" s="98" t="s">
        <v>91</v>
      </c>
      <c r="B664" s="98">
        <v>2013</v>
      </c>
      <c r="C664" s="98">
        <v>80</v>
      </c>
    </row>
    <row r="665" spans="1:3" x14ac:dyDescent="0.3">
      <c r="A665" s="98" t="s">
        <v>91</v>
      </c>
      <c r="B665" s="98">
        <v>2014</v>
      </c>
      <c r="C665" s="98">
        <v>90.68</v>
      </c>
    </row>
    <row r="666" spans="1:3" x14ac:dyDescent="0.3">
      <c r="A666" s="98" t="s">
        <v>91</v>
      </c>
      <c r="B666" s="98">
        <v>2015</v>
      </c>
      <c r="C666" s="98">
        <v>100.92</v>
      </c>
    </row>
    <row r="667" spans="1:3" x14ac:dyDescent="0.3">
      <c r="A667" s="98" t="s">
        <v>91</v>
      </c>
      <c r="B667" s="98">
        <v>2016</v>
      </c>
      <c r="C667" s="98">
        <v>105.49</v>
      </c>
    </row>
    <row r="668" spans="1:3" x14ac:dyDescent="0.3">
      <c r="A668" s="98" t="s">
        <v>91</v>
      </c>
      <c r="B668" s="98">
        <v>2017</v>
      </c>
      <c r="C668" s="98">
        <v>92.396000000000001</v>
      </c>
    </row>
    <row r="669" spans="1:3" x14ac:dyDescent="0.3">
      <c r="A669" s="98" t="s">
        <v>91</v>
      </c>
      <c r="B669" s="98">
        <v>2018</v>
      </c>
      <c r="C669" s="98">
        <v>96.268000000000001</v>
      </c>
    </row>
    <row r="670" spans="1:3" x14ac:dyDescent="0.3">
      <c r="A670" s="98" t="s">
        <v>91</v>
      </c>
      <c r="B670" s="98">
        <v>2019</v>
      </c>
      <c r="C670" s="98">
        <v>98.548000000000002</v>
      </c>
    </row>
    <row r="671" spans="1:3" x14ac:dyDescent="0.3">
      <c r="A671" s="98" t="s">
        <v>91</v>
      </c>
      <c r="B671" s="98">
        <v>2020</v>
      </c>
      <c r="C671" s="98">
        <v>89.785030000000006</v>
      </c>
    </row>
    <row r="672" spans="1:3" x14ac:dyDescent="0.3">
      <c r="A672" s="98" t="s">
        <v>91</v>
      </c>
      <c r="B672" s="98">
        <v>2021</v>
      </c>
      <c r="C672" s="98">
        <v>97.554000000000002</v>
      </c>
    </row>
    <row r="673" spans="1:3" x14ac:dyDescent="0.3">
      <c r="A673" s="98" t="s">
        <v>91</v>
      </c>
      <c r="B673" s="98">
        <v>2022</v>
      </c>
      <c r="C673" s="98">
        <v>106.372</v>
      </c>
    </row>
    <row r="674" spans="1:3" x14ac:dyDescent="0.3">
      <c r="A674" s="98" t="s">
        <v>92</v>
      </c>
      <c r="B674" s="98">
        <v>2001</v>
      </c>
      <c r="C674" s="98">
        <v>3895</v>
      </c>
    </row>
    <row r="675" spans="1:3" x14ac:dyDescent="0.3">
      <c r="A675" s="98" t="s">
        <v>92</v>
      </c>
      <c r="B675" s="98">
        <v>2002</v>
      </c>
      <c r="C675" s="98">
        <v>3930</v>
      </c>
    </row>
    <row r="676" spans="1:3" x14ac:dyDescent="0.3">
      <c r="A676" s="98" t="s">
        <v>92</v>
      </c>
      <c r="B676" s="98">
        <v>2003</v>
      </c>
      <c r="C676" s="98">
        <v>3984</v>
      </c>
    </row>
    <row r="677" spans="1:3" x14ac:dyDescent="0.3">
      <c r="A677" s="98" t="s">
        <v>92</v>
      </c>
      <c r="B677" s="98">
        <v>2004</v>
      </c>
      <c r="C677" s="98">
        <v>4027</v>
      </c>
    </row>
    <row r="678" spans="1:3" x14ac:dyDescent="0.3">
      <c r="A678" s="98" t="s">
        <v>92</v>
      </c>
      <c r="B678" s="98">
        <v>2005</v>
      </c>
      <c r="C678" s="98">
        <v>4112</v>
      </c>
    </row>
    <row r="679" spans="1:3" x14ac:dyDescent="0.3">
      <c r="A679" s="98" t="s">
        <v>92</v>
      </c>
      <c r="B679" s="98">
        <v>2006</v>
      </c>
      <c r="C679" s="98">
        <v>4057</v>
      </c>
    </row>
    <row r="680" spans="1:3" x14ac:dyDescent="0.3">
      <c r="A680" s="98" t="s">
        <v>92</v>
      </c>
      <c r="B680" s="98">
        <v>2007</v>
      </c>
      <c r="C680" s="98">
        <v>3999</v>
      </c>
    </row>
    <row r="681" spans="1:3" x14ac:dyDescent="0.3">
      <c r="A681" s="98" t="s">
        <v>92</v>
      </c>
      <c r="B681" s="98">
        <v>2008</v>
      </c>
      <c r="C681" s="98">
        <v>4077</v>
      </c>
    </row>
    <row r="682" spans="1:3" x14ac:dyDescent="0.3">
      <c r="A682" s="98" t="s">
        <v>92</v>
      </c>
      <c r="B682" s="98">
        <v>2009</v>
      </c>
      <c r="C682" s="98">
        <v>4165</v>
      </c>
    </row>
    <row r="683" spans="1:3" x14ac:dyDescent="0.3">
      <c r="A683" s="98" t="s">
        <v>92</v>
      </c>
      <c r="B683" s="98">
        <v>2010</v>
      </c>
      <c r="C683" s="98">
        <v>4051</v>
      </c>
    </row>
    <row r="684" spans="1:3" x14ac:dyDescent="0.3">
      <c r="A684" s="98" t="s">
        <v>92</v>
      </c>
      <c r="B684" s="98">
        <v>2011</v>
      </c>
      <c r="C684" s="98">
        <v>4039</v>
      </c>
    </row>
    <row r="685" spans="1:3" x14ac:dyDescent="0.3">
      <c r="A685" s="98" t="s">
        <v>92</v>
      </c>
      <c r="B685" s="98">
        <v>2012</v>
      </c>
      <c r="C685" s="98">
        <v>3995</v>
      </c>
    </row>
    <row r="686" spans="1:3" x14ac:dyDescent="0.3">
      <c r="A686" s="98" t="s">
        <v>92</v>
      </c>
      <c r="B686" s="98">
        <v>2013</v>
      </c>
      <c r="C686" s="98">
        <v>3995</v>
      </c>
    </row>
    <row r="687" spans="1:3" x14ac:dyDescent="0.3">
      <c r="A687" s="98" t="s">
        <v>92</v>
      </c>
      <c r="B687" s="98">
        <v>2014</v>
      </c>
      <c r="C687" s="98">
        <v>4075</v>
      </c>
    </row>
    <row r="688" spans="1:3" x14ac:dyDescent="0.3">
      <c r="A688" s="98" t="s">
        <v>92</v>
      </c>
      <c r="B688" s="98">
        <v>2015</v>
      </c>
      <c r="C688" s="98">
        <v>4051.5</v>
      </c>
    </row>
    <row r="689" spans="1:3" x14ac:dyDescent="0.3">
      <c r="A689" s="98" t="s">
        <v>92</v>
      </c>
      <c r="B689" s="98">
        <v>2016</v>
      </c>
      <c r="C689" s="98">
        <v>4044.5</v>
      </c>
    </row>
    <row r="690" spans="1:3" x14ac:dyDescent="0.3">
      <c r="A690" s="98" t="s">
        <v>92</v>
      </c>
      <c r="B690" s="98">
        <v>2017</v>
      </c>
      <c r="C690" s="98">
        <v>4041.5</v>
      </c>
    </row>
    <row r="691" spans="1:3" x14ac:dyDescent="0.3">
      <c r="A691" s="98" t="s">
        <v>92</v>
      </c>
      <c r="B691" s="98">
        <v>2018</v>
      </c>
      <c r="C691" s="98">
        <v>4033</v>
      </c>
    </row>
    <row r="692" spans="1:3" x14ac:dyDescent="0.3">
      <c r="A692" s="98" t="s">
        <v>92</v>
      </c>
      <c r="B692" s="98">
        <v>2019</v>
      </c>
      <c r="C692" s="98">
        <v>4084</v>
      </c>
    </row>
    <row r="693" spans="1:3" x14ac:dyDescent="0.3">
      <c r="A693" s="98" t="s">
        <v>92</v>
      </c>
      <c r="B693" s="98">
        <v>2020</v>
      </c>
      <c r="C693" s="98">
        <v>4076.5</v>
      </c>
    </row>
    <row r="694" spans="1:3" x14ac:dyDescent="0.3">
      <c r="A694" s="98" t="s">
        <v>92</v>
      </c>
      <c r="B694" s="98">
        <v>2021</v>
      </c>
      <c r="C694" s="98">
        <v>4113.5</v>
      </c>
    </row>
    <row r="695" spans="1:3" x14ac:dyDescent="0.3">
      <c r="A695" s="98" t="s">
        <v>92</v>
      </c>
      <c r="B695" s="98">
        <v>2022</v>
      </c>
      <c r="C695" s="98">
        <v>4118</v>
      </c>
    </row>
    <row r="696" spans="1:3" x14ac:dyDescent="0.3">
      <c r="A696" s="98" t="s">
        <v>93</v>
      </c>
      <c r="B696" s="98">
        <v>2001</v>
      </c>
      <c r="C696" s="98">
        <v>744.30614000000003</v>
      </c>
    </row>
    <row r="697" spans="1:3" x14ac:dyDescent="0.3">
      <c r="A697" s="98" t="s">
        <v>93</v>
      </c>
      <c r="B697" s="98">
        <v>2002</v>
      </c>
      <c r="C697" s="98">
        <v>625.49537999999995</v>
      </c>
    </row>
    <row r="698" spans="1:3" x14ac:dyDescent="0.3">
      <c r="A698" s="98" t="s">
        <v>93</v>
      </c>
      <c r="B698" s="98">
        <v>2003</v>
      </c>
      <c r="C698" s="98">
        <v>519.36420999999996</v>
      </c>
    </row>
    <row r="699" spans="1:3" x14ac:dyDescent="0.3">
      <c r="A699" s="98" t="s">
        <v>93</v>
      </c>
      <c r="B699" s="98">
        <v>2004</v>
      </c>
      <c r="C699" s="98">
        <v>481.57771000000002</v>
      </c>
    </row>
    <row r="700" spans="1:3" x14ac:dyDescent="0.3">
      <c r="A700" s="98" t="s">
        <v>93</v>
      </c>
      <c r="B700" s="98">
        <v>2005</v>
      </c>
      <c r="C700" s="98">
        <v>556.03713000000005</v>
      </c>
    </row>
    <row r="701" spans="1:3" x14ac:dyDescent="0.3">
      <c r="A701" s="98" t="s">
        <v>93</v>
      </c>
      <c r="B701" s="98">
        <v>2006</v>
      </c>
      <c r="C701" s="98">
        <v>498.06909999999999</v>
      </c>
    </row>
    <row r="702" spans="1:3" x14ac:dyDescent="0.3">
      <c r="A702" s="98" t="s">
        <v>93</v>
      </c>
      <c r="B702" s="98">
        <v>2007</v>
      </c>
      <c r="C702" s="98">
        <v>445.59269</v>
      </c>
    </row>
    <row r="703" spans="1:3" x14ac:dyDescent="0.3">
      <c r="A703" s="98" t="s">
        <v>93</v>
      </c>
      <c r="B703" s="98">
        <v>2008</v>
      </c>
      <c r="C703" s="98">
        <v>471.33506</v>
      </c>
    </row>
    <row r="704" spans="1:3" x14ac:dyDescent="0.3">
      <c r="A704" s="98" t="s">
        <v>93</v>
      </c>
      <c r="B704" s="98">
        <v>2009</v>
      </c>
      <c r="C704" s="98">
        <v>455.33596999999997</v>
      </c>
    </row>
    <row r="705" spans="1:3" x14ac:dyDescent="0.3">
      <c r="A705" s="98" t="s">
        <v>93</v>
      </c>
      <c r="B705" s="98">
        <v>2010</v>
      </c>
      <c r="C705" s="98">
        <v>490.91228999999998</v>
      </c>
    </row>
    <row r="706" spans="1:3" x14ac:dyDescent="0.3">
      <c r="A706" s="98" t="s">
        <v>93</v>
      </c>
      <c r="B706" s="98">
        <v>2011</v>
      </c>
      <c r="C706" s="98">
        <v>506.96113000000003</v>
      </c>
    </row>
    <row r="707" spans="1:3" x14ac:dyDescent="0.3">
      <c r="A707" s="98" t="s">
        <v>93</v>
      </c>
      <c r="B707" s="98">
        <v>2012</v>
      </c>
      <c r="C707" s="98">
        <v>497.16309999999999</v>
      </c>
    </row>
    <row r="708" spans="1:3" x14ac:dyDescent="0.3">
      <c r="A708" s="98" t="s">
        <v>93</v>
      </c>
      <c r="B708" s="98">
        <v>2013</v>
      </c>
      <c r="C708" s="98">
        <v>475.64136000000002</v>
      </c>
    </row>
    <row r="709" spans="1:3" x14ac:dyDescent="0.3">
      <c r="A709" s="98" t="s">
        <v>93</v>
      </c>
      <c r="B709" s="98">
        <v>2014</v>
      </c>
      <c r="C709" s="98">
        <v>540.28251</v>
      </c>
    </row>
    <row r="710" spans="1:3" x14ac:dyDescent="0.3">
      <c r="A710" s="98" t="s">
        <v>93</v>
      </c>
      <c r="B710" s="98">
        <v>2015</v>
      </c>
      <c r="C710" s="98">
        <v>602.51400999999998</v>
      </c>
    </row>
    <row r="711" spans="1:3" x14ac:dyDescent="0.3">
      <c r="A711" s="98" t="s">
        <v>93</v>
      </c>
      <c r="B711" s="98">
        <v>2016</v>
      </c>
      <c r="C711" s="98">
        <v>622.29105000000004</v>
      </c>
    </row>
    <row r="712" spans="1:3" x14ac:dyDescent="0.3">
      <c r="A712" s="98" t="s">
        <v>93</v>
      </c>
      <c r="B712" s="98">
        <v>2017</v>
      </c>
      <c r="C712" s="98">
        <v>546.94988999999998</v>
      </c>
    </row>
    <row r="713" spans="1:3" x14ac:dyDescent="0.3">
      <c r="A713" s="98" t="s">
        <v>93</v>
      </c>
      <c r="B713" s="98">
        <v>2018</v>
      </c>
      <c r="C713" s="98">
        <v>572.88820999999996</v>
      </c>
    </row>
    <row r="714" spans="1:3" x14ac:dyDescent="0.3">
      <c r="A714" s="98" t="s">
        <v>93</v>
      </c>
      <c r="B714" s="98">
        <v>2019</v>
      </c>
      <c r="C714" s="98">
        <v>583.90332999999998</v>
      </c>
    </row>
    <row r="715" spans="1:3" x14ac:dyDescent="0.3">
      <c r="A715" s="98" t="s">
        <v>93</v>
      </c>
      <c r="B715" s="98">
        <v>2020</v>
      </c>
      <c r="C715" s="98">
        <v>534.55871999999999</v>
      </c>
    </row>
    <row r="716" spans="1:3" x14ac:dyDescent="0.3">
      <c r="A716" s="98" t="s">
        <v>93</v>
      </c>
      <c r="B716" s="98">
        <v>2021</v>
      </c>
      <c r="C716" s="98">
        <v>579.16034000000002</v>
      </c>
    </row>
    <row r="717" spans="1:3" x14ac:dyDescent="0.3">
      <c r="A717" s="98" t="s">
        <v>93</v>
      </c>
      <c r="B717" s="98">
        <v>2022</v>
      </c>
      <c r="C717" s="98">
        <v>614.99811999999997</v>
      </c>
    </row>
    <row r="718" spans="1:3" x14ac:dyDescent="0.3">
      <c r="A718" s="98" t="s">
        <v>94</v>
      </c>
      <c r="B718" s="98">
        <v>2001</v>
      </c>
      <c r="C718" s="98">
        <v>1.5928</v>
      </c>
    </row>
    <row r="719" spans="1:3" x14ac:dyDescent="0.3">
      <c r="A719" s="98" t="s">
        <v>94</v>
      </c>
      <c r="B719" s="98">
        <v>2002</v>
      </c>
      <c r="C719" s="98">
        <v>1.5775999999999999</v>
      </c>
    </row>
    <row r="720" spans="1:3" x14ac:dyDescent="0.3">
      <c r="A720" s="98" t="s">
        <v>94</v>
      </c>
      <c r="B720" s="98">
        <v>2003</v>
      </c>
      <c r="C720" s="98">
        <v>1.2965</v>
      </c>
    </row>
    <row r="721" spans="1:3" x14ac:dyDescent="0.3">
      <c r="A721" s="98" t="s">
        <v>94</v>
      </c>
      <c r="B721" s="98">
        <v>2004</v>
      </c>
      <c r="C721" s="98">
        <v>1.202</v>
      </c>
    </row>
    <row r="722" spans="1:3" x14ac:dyDescent="0.3">
      <c r="A722" s="98" t="s">
        <v>94</v>
      </c>
      <c r="B722" s="98">
        <v>2005</v>
      </c>
      <c r="C722" s="98">
        <v>1.163</v>
      </c>
    </row>
    <row r="723" spans="1:3" x14ac:dyDescent="0.3">
      <c r="A723" s="98" t="s">
        <v>94</v>
      </c>
      <c r="B723" s="98">
        <v>2006</v>
      </c>
      <c r="C723" s="98">
        <v>1.1654</v>
      </c>
    </row>
    <row r="724" spans="1:3" x14ac:dyDescent="0.3">
      <c r="A724" s="98" t="s">
        <v>94</v>
      </c>
      <c r="B724" s="98">
        <v>2007</v>
      </c>
      <c r="C724" s="98">
        <v>0.99129999999999996</v>
      </c>
    </row>
    <row r="725" spans="1:3" x14ac:dyDescent="0.3">
      <c r="A725" s="98" t="s">
        <v>94</v>
      </c>
      <c r="B725" s="98">
        <v>2008</v>
      </c>
      <c r="C725" s="98">
        <v>1.218</v>
      </c>
    </row>
    <row r="726" spans="1:3" x14ac:dyDescent="0.3">
      <c r="A726" s="98" t="s">
        <v>94</v>
      </c>
      <c r="B726" s="98">
        <v>2009</v>
      </c>
      <c r="C726" s="98">
        <v>1.0509999999999999</v>
      </c>
    </row>
    <row r="727" spans="1:3" x14ac:dyDescent="0.3">
      <c r="A727" s="98" t="s">
        <v>94</v>
      </c>
      <c r="B727" s="98">
        <v>2010</v>
      </c>
      <c r="C727" s="98">
        <v>0.99460000000000004</v>
      </c>
    </row>
    <row r="728" spans="1:3" x14ac:dyDescent="0.3">
      <c r="A728" s="98" t="s">
        <v>94</v>
      </c>
      <c r="B728" s="98">
        <v>2011</v>
      </c>
      <c r="C728" s="98">
        <v>1.0169999999999999</v>
      </c>
    </row>
    <row r="729" spans="1:3" x14ac:dyDescent="0.3">
      <c r="A729" s="98" t="s">
        <v>94</v>
      </c>
      <c r="B729" s="98">
        <v>2012</v>
      </c>
      <c r="C729" s="98">
        <v>0.99490000000000001</v>
      </c>
    </row>
    <row r="730" spans="1:3" x14ac:dyDescent="0.3">
      <c r="A730" s="98" t="s">
        <v>94</v>
      </c>
      <c r="B730" s="98">
        <v>2013</v>
      </c>
      <c r="C730" s="98">
        <v>1.0636000000000001</v>
      </c>
    </row>
    <row r="731" spans="1:3" x14ac:dyDescent="0.3">
      <c r="A731" s="98" t="s">
        <v>94</v>
      </c>
      <c r="B731" s="98">
        <v>2014</v>
      </c>
      <c r="C731" s="98">
        <v>1.1600999999999999</v>
      </c>
    </row>
    <row r="732" spans="1:3" x14ac:dyDescent="0.3">
      <c r="A732" s="98" t="s">
        <v>94</v>
      </c>
      <c r="B732" s="98">
        <v>2015</v>
      </c>
      <c r="C732" s="98">
        <v>1.3839999999999999</v>
      </c>
    </row>
    <row r="733" spans="1:3" x14ac:dyDescent="0.3">
      <c r="A733" s="98" t="s">
        <v>94</v>
      </c>
      <c r="B733" s="98">
        <v>2016</v>
      </c>
      <c r="C733" s="98">
        <v>1.3427</v>
      </c>
    </row>
    <row r="734" spans="1:3" x14ac:dyDescent="0.3">
      <c r="A734" s="98" t="s">
        <v>94</v>
      </c>
      <c r="B734" s="98">
        <v>2017</v>
      </c>
      <c r="C734" s="98">
        <v>1.2544999999999999</v>
      </c>
    </row>
    <row r="735" spans="1:3" x14ac:dyDescent="0.3">
      <c r="A735" s="98" t="s">
        <v>94</v>
      </c>
      <c r="B735" s="98">
        <v>2018</v>
      </c>
      <c r="C735" s="98">
        <v>1.3641000000000001</v>
      </c>
    </row>
    <row r="736" spans="1:3" x14ac:dyDescent="0.3">
      <c r="A736" s="98" t="s">
        <v>94</v>
      </c>
      <c r="B736" s="98">
        <v>2019</v>
      </c>
      <c r="C736" s="98">
        <v>1.3059000000000001</v>
      </c>
    </row>
    <row r="737" spans="1:3" x14ac:dyDescent="0.3">
      <c r="A737" s="98" t="s">
        <v>94</v>
      </c>
      <c r="B737" s="98">
        <v>2020</v>
      </c>
      <c r="C737" s="98">
        <v>1.2856000000000001</v>
      </c>
    </row>
    <row r="738" spans="1:3" x14ac:dyDescent="0.3">
      <c r="A738" s="98" t="s">
        <v>94</v>
      </c>
      <c r="B738" s="98">
        <v>2021</v>
      </c>
      <c r="C738" s="98">
        <v>1.2865</v>
      </c>
    </row>
    <row r="739" spans="1:3" x14ac:dyDescent="0.3">
      <c r="A739" s="98" t="s">
        <v>94</v>
      </c>
      <c r="B739" s="98">
        <v>2022</v>
      </c>
      <c r="C739" s="98">
        <v>1.3603000000000001</v>
      </c>
    </row>
    <row r="740" spans="1:3" x14ac:dyDescent="0.3">
      <c r="A740" s="98" t="s">
        <v>95</v>
      </c>
      <c r="B740" s="98">
        <v>2001</v>
      </c>
      <c r="C740" s="98">
        <v>0.83333000000000002</v>
      </c>
    </row>
    <row r="741" spans="1:3" x14ac:dyDescent="0.3">
      <c r="A741" s="98" t="s">
        <v>95</v>
      </c>
      <c r="B741" s="98">
        <v>2002</v>
      </c>
      <c r="C741" s="98">
        <v>0.83333000000000002</v>
      </c>
    </row>
    <row r="742" spans="1:3" x14ac:dyDescent="0.3">
      <c r="A742" s="98" t="s">
        <v>95</v>
      </c>
      <c r="B742" s="98">
        <v>2003</v>
      </c>
      <c r="C742" s="98">
        <v>0.83333000000000002</v>
      </c>
    </row>
    <row r="743" spans="1:3" x14ac:dyDescent="0.3">
      <c r="A743" s="98" t="s">
        <v>95</v>
      </c>
      <c r="B743" s="98">
        <v>2004</v>
      </c>
      <c r="C743" s="98">
        <v>0.83333000000000002</v>
      </c>
    </row>
    <row r="744" spans="1:3" x14ac:dyDescent="0.3">
      <c r="A744" s="98" t="s">
        <v>95</v>
      </c>
      <c r="B744" s="98">
        <v>2005</v>
      </c>
      <c r="C744" s="98">
        <v>0.83333000000000002</v>
      </c>
    </row>
    <row r="745" spans="1:3" x14ac:dyDescent="0.3">
      <c r="A745" s="98" t="s">
        <v>95</v>
      </c>
      <c r="B745" s="98">
        <v>2006</v>
      </c>
      <c r="C745" s="98">
        <v>0.83333000000000002</v>
      </c>
    </row>
    <row r="746" spans="1:3" x14ac:dyDescent="0.3">
      <c r="A746" s="98" t="s">
        <v>95</v>
      </c>
      <c r="B746" s="98">
        <v>2007</v>
      </c>
      <c r="C746" s="98">
        <v>0.83333000000000002</v>
      </c>
    </row>
    <row r="747" spans="1:3" x14ac:dyDescent="0.3">
      <c r="A747" s="98" t="s">
        <v>95</v>
      </c>
      <c r="B747" s="98">
        <v>2008</v>
      </c>
      <c r="C747" s="98">
        <v>0.83333000000000002</v>
      </c>
    </row>
    <row r="748" spans="1:3" x14ac:dyDescent="0.3">
      <c r="A748" s="98" t="s">
        <v>95</v>
      </c>
      <c r="B748" s="98">
        <v>2009</v>
      </c>
      <c r="C748" s="98">
        <v>0.83333000000000002</v>
      </c>
    </row>
    <row r="749" spans="1:3" x14ac:dyDescent="0.3">
      <c r="A749" s="98" t="s">
        <v>95</v>
      </c>
      <c r="B749" s="98">
        <v>2010</v>
      </c>
      <c r="C749" s="98">
        <v>0.83333000000000002</v>
      </c>
    </row>
    <row r="750" spans="1:3" x14ac:dyDescent="0.3">
      <c r="A750" s="98" t="s">
        <v>95</v>
      </c>
      <c r="B750" s="98">
        <v>2011</v>
      </c>
      <c r="C750" s="98">
        <v>0.83333000000000002</v>
      </c>
    </row>
    <row r="751" spans="1:3" x14ac:dyDescent="0.3">
      <c r="A751" s="98" t="s">
        <v>95</v>
      </c>
      <c r="B751" s="98">
        <v>2012</v>
      </c>
      <c r="C751" s="98">
        <v>0.83333000000000002</v>
      </c>
    </row>
    <row r="752" spans="1:3" x14ac:dyDescent="0.3">
      <c r="A752" s="98" t="s">
        <v>95</v>
      </c>
      <c r="B752" s="98">
        <v>2013</v>
      </c>
      <c r="C752" s="98">
        <v>0.83333000000000002</v>
      </c>
    </row>
    <row r="753" spans="1:3" x14ac:dyDescent="0.3">
      <c r="A753" s="98" t="s">
        <v>95</v>
      </c>
      <c r="B753" s="98">
        <v>2014</v>
      </c>
      <c r="C753" s="98">
        <v>0.83333000000000002</v>
      </c>
    </row>
    <row r="754" spans="1:3" x14ac:dyDescent="0.3">
      <c r="A754" s="98" t="s">
        <v>95</v>
      </c>
      <c r="B754" s="98">
        <v>2015</v>
      </c>
      <c r="C754" s="98">
        <v>0.83333000000000002</v>
      </c>
    </row>
    <row r="755" spans="1:3" x14ac:dyDescent="0.3">
      <c r="A755" s="98" t="s">
        <v>95</v>
      </c>
      <c r="B755" s="98">
        <v>2016</v>
      </c>
      <c r="C755" s="98">
        <v>0.83333000000000002</v>
      </c>
    </row>
    <row r="756" spans="1:3" x14ac:dyDescent="0.3">
      <c r="A756" s="98" t="s">
        <v>95</v>
      </c>
      <c r="B756" s="98">
        <v>2017</v>
      </c>
      <c r="C756" s="98">
        <v>0.83333000000000002</v>
      </c>
    </row>
    <row r="757" spans="1:3" x14ac:dyDescent="0.3">
      <c r="A757" s="98" t="s">
        <v>95</v>
      </c>
      <c r="B757" s="98">
        <v>2018</v>
      </c>
      <c r="C757" s="98">
        <v>0.83333000000000002</v>
      </c>
    </row>
    <row r="758" spans="1:3" x14ac:dyDescent="0.3">
      <c r="A758" s="98" t="s">
        <v>95</v>
      </c>
      <c r="B758" s="98">
        <v>2019</v>
      </c>
      <c r="C758" s="98">
        <v>0.83333000000000002</v>
      </c>
    </row>
    <row r="759" spans="1:3" x14ac:dyDescent="0.3">
      <c r="A759" s="98" t="s">
        <v>95</v>
      </c>
      <c r="B759" s="98">
        <v>2020</v>
      </c>
      <c r="C759" s="98">
        <v>0.83333000000000002</v>
      </c>
    </row>
    <row r="760" spans="1:3" x14ac:dyDescent="0.3">
      <c r="A760" s="98" t="s">
        <v>95</v>
      </c>
      <c r="B760" s="98">
        <v>2021</v>
      </c>
      <c r="C760" s="98">
        <v>0.83333000000000002</v>
      </c>
    </row>
    <row r="761" spans="1:3" x14ac:dyDescent="0.3">
      <c r="A761" s="98" t="s">
        <v>95</v>
      </c>
      <c r="B761" s="98">
        <v>2022</v>
      </c>
      <c r="C761" s="98">
        <v>0.83333000000000002</v>
      </c>
    </row>
    <row r="762" spans="1:3" x14ac:dyDescent="0.3">
      <c r="A762" s="98" t="s">
        <v>96</v>
      </c>
      <c r="B762" s="98">
        <v>2001</v>
      </c>
      <c r="C762" s="98">
        <v>744.30614000000003</v>
      </c>
    </row>
    <row r="763" spans="1:3" x14ac:dyDescent="0.3">
      <c r="A763" s="98" t="s">
        <v>96</v>
      </c>
      <c r="B763" s="98">
        <v>2002</v>
      </c>
      <c r="C763" s="98">
        <v>625.49537999999995</v>
      </c>
    </row>
    <row r="764" spans="1:3" x14ac:dyDescent="0.3">
      <c r="A764" s="98" t="s">
        <v>96</v>
      </c>
      <c r="B764" s="98">
        <v>2003</v>
      </c>
      <c r="C764" s="98">
        <v>519.36420999999996</v>
      </c>
    </row>
    <row r="765" spans="1:3" x14ac:dyDescent="0.3">
      <c r="A765" s="98" t="s">
        <v>96</v>
      </c>
      <c r="B765" s="98">
        <v>2004</v>
      </c>
      <c r="C765" s="98">
        <v>481.57771000000002</v>
      </c>
    </row>
    <row r="766" spans="1:3" x14ac:dyDescent="0.3">
      <c r="A766" s="98" t="s">
        <v>96</v>
      </c>
      <c r="B766" s="98">
        <v>2005</v>
      </c>
      <c r="C766" s="98">
        <v>556.03713000000005</v>
      </c>
    </row>
    <row r="767" spans="1:3" x14ac:dyDescent="0.3">
      <c r="A767" s="98" t="s">
        <v>96</v>
      </c>
      <c r="B767" s="98">
        <v>2006</v>
      </c>
      <c r="C767" s="98">
        <v>498.06909999999999</v>
      </c>
    </row>
    <row r="768" spans="1:3" x14ac:dyDescent="0.3">
      <c r="A768" s="98" t="s">
        <v>96</v>
      </c>
      <c r="B768" s="98">
        <v>2007</v>
      </c>
      <c r="C768" s="98">
        <v>445.59269</v>
      </c>
    </row>
    <row r="769" spans="1:3" x14ac:dyDescent="0.3">
      <c r="A769" s="98" t="s">
        <v>96</v>
      </c>
      <c r="B769" s="98">
        <v>2008</v>
      </c>
      <c r="C769" s="98">
        <v>471.33506</v>
      </c>
    </row>
    <row r="770" spans="1:3" x14ac:dyDescent="0.3">
      <c r="A770" s="98" t="s">
        <v>96</v>
      </c>
      <c r="B770" s="98">
        <v>2009</v>
      </c>
      <c r="C770" s="98">
        <v>455.33596999999997</v>
      </c>
    </row>
    <row r="771" spans="1:3" x14ac:dyDescent="0.3">
      <c r="A771" s="98" t="s">
        <v>96</v>
      </c>
      <c r="B771" s="98">
        <v>2010</v>
      </c>
      <c r="C771" s="98">
        <v>490.91228999999998</v>
      </c>
    </row>
    <row r="772" spans="1:3" x14ac:dyDescent="0.3">
      <c r="A772" s="98" t="s">
        <v>96</v>
      </c>
      <c r="B772" s="98">
        <v>2011</v>
      </c>
      <c r="C772" s="98">
        <v>506.96113000000003</v>
      </c>
    </row>
    <row r="773" spans="1:3" x14ac:dyDescent="0.3">
      <c r="A773" s="98" t="s">
        <v>96</v>
      </c>
      <c r="B773" s="98">
        <v>2012</v>
      </c>
      <c r="C773" s="98">
        <v>497.16309999999999</v>
      </c>
    </row>
    <row r="774" spans="1:3" x14ac:dyDescent="0.3">
      <c r="A774" s="98" t="s">
        <v>96</v>
      </c>
      <c r="B774" s="98">
        <v>2013</v>
      </c>
      <c r="C774" s="98">
        <v>475.64136000000002</v>
      </c>
    </row>
    <row r="775" spans="1:3" x14ac:dyDescent="0.3">
      <c r="A775" s="98" t="s">
        <v>96</v>
      </c>
      <c r="B775" s="98">
        <v>2014</v>
      </c>
      <c r="C775" s="98">
        <v>540.28251</v>
      </c>
    </row>
    <row r="776" spans="1:3" x14ac:dyDescent="0.3">
      <c r="A776" s="98" t="s">
        <v>96</v>
      </c>
      <c r="B776" s="98">
        <v>2015</v>
      </c>
      <c r="C776" s="98">
        <v>602.51400999999998</v>
      </c>
    </row>
    <row r="777" spans="1:3" x14ac:dyDescent="0.3">
      <c r="A777" s="98" t="s">
        <v>96</v>
      </c>
      <c r="B777" s="98">
        <v>2016</v>
      </c>
      <c r="C777" s="98">
        <v>622.29105000000004</v>
      </c>
    </row>
    <row r="778" spans="1:3" x14ac:dyDescent="0.3">
      <c r="A778" s="98" t="s">
        <v>96</v>
      </c>
      <c r="B778" s="98">
        <v>2017</v>
      </c>
      <c r="C778" s="98">
        <v>546.94988999999998</v>
      </c>
    </row>
    <row r="779" spans="1:3" x14ac:dyDescent="0.3">
      <c r="A779" s="98" t="s">
        <v>96</v>
      </c>
      <c r="B779" s="98">
        <v>2018</v>
      </c>
      <c r="C779" s="98">
        <v>572.88820999999996</v>
      </c>
    </row>
    <row r="780" spans="1:3" x14ac:dyDescent="0.3">
      <c r="A780" s="98" t="s">
        <v>96</v>
      </c>
      <c r="B780" s="98">
        <v>2019</v>
      </c>
      <c r="C780" s="98">
        <v>583.90332999999998</v>
      </c>
    </row>
    <row r="781" spans="1:3" x14ac:dyDescent="0.3">
      <c r="A781" s="98" t="s">
        <v>96</v>
      </c>
      <c r="B781" s="98">
        <v>2020</v>
      </c>
      <c r="C781" s="98">
        <v>534.55871999999999</v>
      </c>
    </row>
    <row r="782" spans="1:3" x14ac:dyDescent="0.3">
      <c r="A782" s="98" t="s">
        <v>96</v>
      </c>
      <c r="B782" s="98">
        <v>2021</v>
      </c>
      <c r="C782" s="98">
        <v>579.16034000000002</v>
      </c>
    </row>
    <row r="783" spans="1:3" x14ac:dyDescent="0.3">
      <c r="A783" s="98" t="s">
        <v>96</v>
      </c>
      <c r="B783" s="98">
        <v>2022</v>
      </c>
      <c r="C783" s="98">
        <v>614.99811999999997</v>
      </c>
    </row>
    <row r="784" spans="1:3" x14ac:dyDescent="0.3">
      <c r="A784" s="98" t="s">
        <v>97</v>
      </c>
      <c r="B784" s="98">
        <v>2001</v>
      </c>
      <c r="C784" s="98">
        <v>744.30614000000003</v>
      </c>
    </row>
    <row r="785" spans="1:3" x14ac:dyDescent="0.3">
      <c r="A785" s="98" t="s">
        <v>97</v>
      </c>
      <c r="B785" s="98">
        <v>2002</v>
      </c>
      <c r="C785" s="98">
        <v>625.49537999999995</v>
      </c>
    </row>
    <row r="786" spans="1:3" x14ac:dyDescent="0.3">
      <c r="A786" s="98" t="s">
        <v>97</v>
      </c>
      <c r="B786" s="98">
        <v>2003</v>
      </c>
      <c r="C786" s="98">
        <v>519.36420999999996</v>
      </c>
    </row>
    <row r="787" spans="1:3" x14ac:dyDescent="0.3">
      <c r="A787" s="98" t="s">
        <v>97</v>
      </c>
      <c r="B787" s="98">
        <v>2004</v>
      </c>
      <c r="C787" s="98">
        <v>481.57771000000002</v>
      </c>
    </row>
    <row r="788" spans="1:3" x14ac:dyDescent="0.3">
      <c r="A788" s="98" t="s">
        <v>97</v>
      </c>
      <c r="B788" s="98">
        <v>2005</v>
      </c>
      <c r="C788" s="98">
        <v>556.03713000000005</v>
      </c>
    </row>
    <row r="789" spans="1:3" x14ac:dyDescent="0.3">
      <c r="A789" s="98" t="s">
        <v>97</v>
      </c>
      <c r="B789" s="98">
        <v>2006</v>
      </c>
      <c r="C789" s="98">
        <v>498.06909999999999</v>
      </c>
    </row>
    <row r="790" spans="1:3" x14ac:dyDescent="0.3">
      <c r="A790" s="98" t="s">
        <v>97</v>
      </c>
      <c r="B790" s="98">
        <v>2007</v>
      </c>
      <c r="C790" s="98">
        <v>445.59269</v>
      </c>
    </row>
    <row r="791" spans="1:3" x14ac:dyDescent="0.3">
      <c r="A791" s="98" t="s">
        <v>97</v>
      </c>
      <c r="B791" s="98">
        <v>2008</v>
      </c>
      <c r="C791" s="98">
        <v>471.33506</v>
      </c>
    </row>
    <row r="792" spans="1:3" x14ac:dyDescent="0.3">
      <c r="A792" s="98" t="s">
        <v>97</v>
      </c>
      <c r="B792" s="98">
        <v>2009</v>
      </c>
      <c r="C792" s="98">
        <v>455.33596999999997</v>
      </c>
    </row>
    <row r="793" spans="1:3" x14ac:dyDescent="0.3">
      <c r="A793" s="98" t="s">
        <v>97</v>
      </c>
      <c r="B793" s="98">
        <v>2010</v>
      </c>
      <c r="C793" s="98">
        <v>490.91228999999998</v>
      </c>
    </row>
    <row r="794" spans="1:3" x14ac:dyDescent="0.3">
      <c r="A794" s="98" t="s">
        <v>97</v>
      </c>
      <c r="B794" s="98">
        <v>2011</v>
      </c>
      <c r="C794" s="98">
        <v>506.96113000000003</v>
      </c>
    </row>
    <row r="795" spans="1:3" x14ac:dyDescent="0.3">
      <c r="A795" s="98" t="s">
        <v>97</v>
      </c>
      <c r="B795" s="98">
        <v>2012</v>
      </c>
      <c r="C795" s="98">
        <v>497.16309999999999</v>
      </c>
    </row>
    <row r="796" spans="1:3" x14ac:dyDescent="0.3">
      <c r="A796" s="98" t="s">
        <v>97</v>
      </c>
      <c r="B796" s="98">
        <v>2013</v>
      </c>
      <c r="C796" s="98">
        <v>475.64136000000002</v>
      </c>
    </row>
    <row r="797" spans="1:3" x14ac:dyDescent="0.3">
      <c r="A797" s="98" t="s">
        <v>97</v>
      </c>
      <c r="B797" s="98">
        <v>2014</v>
      </c>
      <c r="C797" s="98">
        <v>540.28251</v>
      </c>
    </row>
    <row r="798" spans="1:3" x14ac:dyDescent="0.3">
      <c r="A798" s="98" t="s">
        <v>97</v>
      </c>
      <c r="B798" s="98">
        <v>2015</v>
      </c>
      <c r="C798" s="98">
        <v>602.51400999999998</v>
      </c>
    </row>
    <row r="799" spans="1:3" x14ac:dyDescent="0.3">
      <c r="A799" s="98" t="s">
        <v>97</v>
      </c>
      <c r="B799" s="98">
        <v>2016</v>
      </c>
      <c r="C799" s="98">
        <v>622.29105000000004</v>
      </c>
    </row>
    <row r="800" spans="1:3" x14ac:dyDescent="0.3">
      <c r="A800" s="98" t="s">
        <v>97</v>
      </c>
      <c r="B800" s="98">
        <v>2017</v>
      </c>
      <c r="C800" s="98">
        <v>546.94988999999998</v>
      </c>
    </row>
    <row r="801" spans="1:3" x14ac:dyDescent="0.3">
      <c r="A801" s="98" t="s">
        <v>97</v>
      </c>
      <c r="B801" s="98">
        <v>2018</v>
      </c>
      <c r="C801" s="98">
        <v>572.88820999999996</v>
      </c>
    </row>
    <row r="802" spans="1:3" x14ac:dyDescent="0.3">
      <c r="A802" s="98" t="s">
        <v>97</v>
      </c>
      <c r="B802" s="98">
        <v>2019</v>
      </c>
      <c r="C802" s="98">
        <v>583.90332999999998</v>
      </c>
    </row>
    <row r="803" spans="1:3" x14ac:dyDescent="0.3">
      <c r="A803" s="98" t="s">
        <v>97</v>
      </c>
      <c r="B803" s="98">
        <v>2020</v>
      </c>
      <c r="C803" s="98">
        <v>534.55871999999999</v>
      </c>
    </row>
    <row r="804" spans="1:3" x14ac:dyDescent="0.3">
      <c r="A804" s="98" t="s">
        <v>97</v>
      </c>
      <c r="B804" s="98">
        <v>2021</v>
      </c>
      <c r="C804" s="98">
        <v>579.16034000000002</v>
      </c>
    </row>
    <row r="805" spans="1:3" x14ac:dyDescent="0.3">
      <c r="A805" s="98" t="s">
        <v>97</v>
      </c>
      <c r="B805" s="98">
        <v>2022</v>
      </c>
      <c r="C805" s="98">
        <v>614.99811999999997</v>
      </c>
    </row>
    <row r="806" spans="1:3" x14ac:dyDescent="0.3">
      <c r="A806" s="98" t="s">
        <v>98</v>
      </c>
      <c r="B806" s="98">
        <v>2001</v>
      </c>
      <c r="C806" s="98">
        <v>744.30614000000003</v>
      </c>
    </row>
    <row r="807" spans="1:3" x14ac:dyDescent="0.3">
      <c r="A807" s="98" t="s">
        <v>98</v>
      </c>
      <c r="B807" s="98">
        <v>2002</v>
      </c>
      <c r="C807" s="98">
        <v>625.49537999999995</v>
      </c>
    </row>
    <row r="808" spans="1:3" x14ac:dyDescent="0.3">
      <c r="A808" s="98" t="s">
        <v>98</v>
      </c>
      <c r="B808" s="98">
        <v>2003</v>
      </c>
      <c r="C808" s="98">
        <v>519.36420999999996</v>
      </c>
    </row>
    <row r="809" spans="1:3" x14ac:dyDescent="0.3">
      <c r="A809" s="98" t="s">
        <v>98</v>
      </c>
      <c r="B809" s="98">
        <v>2004</v>
      </c>
      <c r="C809" s="98">
        <v>481.57771000000002</v>
      </c>
    </row>
    <row r="810" spans="1:3" x14ac:dyDescent="0.3">
      <c r="A810" s="98" t="s">
        <v>98</v>
      </c>
      <c r="B810" s="98">
        <v>2005</v>
      </c>
      <c r="C810" s="98">
        <v>556.03713000000005</v>
      </c>
    </row>
    <row r="811" spans="1:3" x14ac:dyDescent="0.3">
      <c r="A811" s="98" t="s">
        <v>98</v>
      </c>
      <c r="B811" s="98">
        <v>2006</v>
      </c>
      <c r="C811" s="98">
        <v>498.06909999999999</v>
      </c>
    </row>
    <row r="812" spans="1:3" x14ac:dyDescent="0.3">
      <c r="A812" s="98" t="s">
        <v>98</v>
      </c>
      <c r="B812" s="98">
        <v>2007</v>
      </c>
      <c r="C812" s="98">
        <v>445.59269</v>
      </c>
    </row>
    <row r="813" spans="1:3" x14ac:dyDescent="0.3">
      <c r="A813" s="98" t="s">
        <v>98</v>
      </c>
      <c r="B813" s="98">
        <v>2008</v>
      </c>
      <c r="C813" s="98">
        <v>471.33506</v>
      </c>
    </row>
    <row r="814" spans="1:3" x14ac:dyDescent="0.3">
      <c r="A814" s="98" t="s">
        <v>98</v>
      </c>
      <c r="B814" s="98">
        <v>2009</v>
      </c>
      <c r="C814" s="98">
        <v>455.33596999999997</v>
      </c>
    </row>
    <row r="815" spans="1:3" x14ac:dyDescent="0.3">
      <c r="A815" s="98" t="s">
        <v>98</v>
      </c>
      <c r="B815" s="98">
        <v>2010</v>
      </c>
      <c r="C815" s="98">
        <v>490.91228999999998</v>
      </c>
    </row>
    <row r="816" spans="1:3" x14ac:dyDescent="0.3">
      <c r="A816" s="98" t="s">
        <v>98</v>
      </c>
      <c r="B816" s="98">
        <v>2011</v>
      </c>
      <c r="C816" s="98">
        <v>506.96113000000003</v>
      </c>
    </row>
    <row r="817" spans="1:3" x14ac:dyDescent="0.3">
      <c r="A817" s="98" t="s">
        <v>98</v>
      </c>
      <c r="B817" s="98">
        <v>2012</v>
      </c>
      <c r="C817" s="98">
        <v>497.16309999999999</v>
      </c>
    </row>
    <row r="818" spans="1:3" x14ac:dyDescent="0.3">
      <c r="A818" s="98" t="s">
        <v>98</v>
      </c>
      <c r="B818" s="98">
        <v>2013</v>
      </c>
      <c r="C818" s="98">
        <v>475.64136000000002</v>
      </c>
    </row>
    <row r="819" spans="1:3" x14ac:dyDescent="0.3">
      <c r="A819" s="98" t="s">
        <v>98</v>
      </c>
      <c r="B819" s="98">
        <v>2014</v>
      </c>
      <c r="C819" s="98">
        <v>540.28251</v>
      </c>
    </row>
    <row r="820" spans="1:3" x14ac:dyDescent="0.3">
      <c r="A820" s="98" t="s">
        <v>98</v>
      </c>
      <c r="B820" s="98">
        <v>2015</v>
      </c>
      <c r="C820" s="98">
        <v>602.51400999999998</v>
      </c>
    </row>
    <row r="821" spans="1:3" x14ac:dyDescent="0.3">
      <c r="A821" s="98" t="s">
        <v>98</v>
      </c>
      <c r="B821" s="98">
        <v>2016</v>
      </c>
      <c r="C821" s="98">
        <v>622.29105000000004</v>
      </c>
    </row>
    <row r="822" spans="1:3" x14ac:dyDescent="0.3">
      <c r="A822" s="98" t="s">
        <v>98</v>
      </c>
      <c r="B822" s="98">
        <v>2017</v>
      </c>
      <c r="C822" s="98">
        <v>546.94988999999998</v>
      </c>
    </row>
    <row r="823" spans="1:3" x14ac:dyDescent="0.3">
      <c r="A823" s="98" t="s">
        <v>98</v>
      </c>
      <c r="B823" s="98">
        <v>2018</v>
      </c>
      <c r="C823" s="98">
        <v>572.88820999999996</v>
      </c>
    </row>
    <row r="824" spans="1:3" x14ac:dyDescent="0.3">
      <c r="A824" s="98" t="s">
        <v>98</v>
      </c>
      <c r="B824" s="98">
        <v>2019</v>
      </c>
      <c r="C824" s="98">
        <v>583.90332999999998</v>
      </c>
    </row>
    <row r="825" spans="1:3" x14ac:dyDescent="0.3">
      <c r="A825" s="98" t="s">
        <v>98</v>
      </c>
      <c r="B825" s="98">
        <v>2020</v>
      </c>
      <c r="C825" s="98">
        <v>534.55871999999999</v>
      </c>
    </row>
    <row r="826" spans="1:3" x14ac:dyDescent="0.3">
      <c r="A826" s="98" t="s">
        <v>98</v>
      </c>
      <c r="B826" s="98">
        <v>2021</v>
      </c>
      <c r="C826" s="98">
        <v>579.16034000000002</v>
      </c>
    </row>
    <row r="827" spans="1:3" x14ac:dyDescent="0.3">
      <c r="A827" s="98" t="s">
        <v>98</v>
      </c>
      <c r="B827" s="98">
        <v>2022</v>
      </c>
      <c r="C827" s="98">
        <v>614.99811999999997</v>
      </c>
    </row>
    <row r="828" spans="1:3" x14ac:dyDescent="0.3">
      <c r="A828" s="98" t="s">
        <v>99</v>
      </c>
      <c r="B828" s="98">
        <v>2001</v>
      </c>
      <c r="C828" s="98">
        <v>656.2</v>
      </c>
    </row>
    <row r="829" spans="1:3" x14ac:dyDescent="0.3">
      <c r="A829" s="98" t="s">
        <v>99</v>
      </c>
      <c r="B829" s="98">
        <v>2002</v>
      </c>
      <c r="C829" s="98">
        <v>712.38</v>
      </c>
    </row>
    <row r="830" spans="1:3" x14ac:dyDescent="0.3">
      <c r="A830" s="98" t="s">
        <v>99</v>
      </c>
      <c r="B830" s="98">
        <v>2003</v>
      </c>
      <c r="C830" s="98">
        <v>599.41999999999996</v>
      </c>
    </row>
    <row r="831" spans="1:3" x14ac:dyDescent="0.3">
      <c r="A831" s="98" t="s">
        <v>99</v>
      </c>
      <c r="B831" s="98">
        <v>2004</v>
      </c>
      <c r="C831" s="98">
        <v>559.83000000000004</v>
      </c>
    </row>
    <row r="832" spans="1:3" x14ac:dyDescent="0.3">
      <c r="A832" s="98" t="s">
        <v>99</v>
      </c>
      <c r="B832" s="98">
        <v>2005</v>
      </c>
      <c r="C832" s="98">
        <v>514.21</v>
      </c>
    </row>
    <row r="833" spans="1:3" x14ac:dyDescent="0.3">
      <c r="A833" s="98" t="s">
        <v>99</v>
      </c>
      <c r="B833" s="98">
        <v>2006</v>
      </c>
      <c r="C833" s="98">
        <v>534.42999999999995</v>
      </c>
    </row>
    <row r="834" spans="1:3" x14ac:dyDescent="0.3">
      <c r="A834" s="98" t="s">
        <v>99</v>
      </c>
      <c r="B834" s="98">
        <v>2007</v>
      </c>
      <c r="C834" s="98">
        <v>495.82</v>
      </c>
    </row>
    <row r="835" spans="1:3" x14ac:dyDescent="0.3">
      <c r="A835" s="98" t="s">
        <v>99</v>
      </c>
      <c r="B835" s="98">
        <v>2008</v>
      </c>
      <c r="C835" s="98">
        <v>629.11</v>
      </c>
    </row>
    <row r="836" spans="1:3" x14ac:dyDescent="0.3">
      <c r="A836" s="98" t="s">
        <v>99</v>
      </c>
      <c r="B836" s="98">
        <v>2009</v>
      </c>
      <c r="C836" s="98">
        <v>506.43</v>
      </c>
    </row>
    <row r="837" spans="1:3" x14ac:dyDescent="0.3">
      <c r="A837" s="98" t="s">
        <v>99</v>
      </c>
      <c r="B837" s="98">
        <v>2010</v>
      </c>
      <c r="C837" s="98">
        <v>468.37</v>
      </c>
    </row>
    <row r="838" spans="1:3" x14ac:dyDescent="0.3">
      <c r="A838" s="98" t="s">
        <v>99</v>
      </c>
      <c r="B838" s="98">
        <v>2011</v>
      </c>
      <c r="C838" s="98">
        <v>521.46</v>
      </c>
    </row>
    <row r="839" spans="1:3" x14ac:dyDescent="0.3">
      <c r="A839" s="98" t="s">
        <v>99</v>
      </c>
      <c r="B839" s="98">
        <v>2012</v>
      </c>
      <c r="C839" s="98">
        <v>478.6</v>
      </c>
    </row>
    <row r="840" spans="1:3" x14ac:dyDescent="0.3">
      <c r="A840" s="98" t="s">
        <v>99</v>
      </c>
      <c r="B840" s="98">
        <v>2013</v>
      </c>
      <c r="C840" s="98">
        <v>523.76</v>
      </c>
    </row>
    <row r="841" spans="1:3" x14ac:dyDescent="0.3">
      <c r="A841" s="98" t="s">
        <v>99</v>
      </c>
      <c r="B841" s="98">
        <v>2014</v>
      </c>
      <c r="C841" s="98">
        <v>607.38</v>
      </c>
    </row>
    <row r="842" spans="1:3" x14ac:dyDescent="0.3">
      <c r="A842" s="98" t="s">
        <v>99</v>
      </c>
      <c r="B842" s="98">
        <v>2015</v>
      </c>
      <c r="C842" s="98">
        <v>707.34</v>
      </c>
    </row>
    <row r="843" spans="1:3" x14ac:dyDescent="0.3">
      <c r="A843" s="98" t="s">
        <v>99</v>
      </c>
      <c r="B843" s="98">
        <v>2016</v>
      </c>
      <c r="C843" s="98">
        <v>667.29</v>
      </c>
    </row>
    <row r="844" spans="1:3" x14ac:dyDescent="0.3">
      <c r="A844" s="98" t="s">
        <v>99</v>
      </c>
      <c r="B844" s="98">
        <v>2017</v>
      </c>
      <c r="C844" s="98">
        <v>615.22</v>
      </c>
    </row>
    <row r="845" spans="1:3" x14ac:dyDescent="0.3">
      <c r="A845" s="98" t="s">
        <v>99</v>
      </c>
      <c r="B845" s="98">
        <v>2018</v>
      </c>
      <c r="C845" s="98">
        <v>695.69</v>
      </c>
    </row>
    <row r="846" spans="1:3" x14ac:dyDescent="0.3">
      <c r="A846" s="98" t="s">
        <v>99</v>
      </c>
      <c r="B846" s="98">
        <v>2019</v>
      </c>
      <c r="C846" s="98">
        <v>744.62</v>
      </c>
    </row>
    <row r="847" spans="1:3" x14ac:dyDescent="0.3">
      <c r="A847" s="98" t="s">
        <v>99</v>
      </c>
      <c r="B847" s="98">
        <v>2020</v>
      </c>
      <c r="C847" s="98">
        <v>728.96</v>
      </c>
    </row>
    <row r="848" spans="1:3" x14ac:dyDescent="0.3">
      <c r="A848" s="98" t="s">
        <v>99</v>
      </c>
      <c r="B848" s="98">
        <v>2021</v>
      </c>
      <c r="C848" s="98">
        <v>866.25</v>
      </c>
    </row>
    <row r="849" spans="1:3" x14ac:dyDescent="0.3">
      <c r="A849" s="98" t="s">
        <v>99</v>
      </c>
      <c r="B849" s="98">
        <v>2022</v>
      </c>
      <c r="C849" s="98">
        <v>867.01</v>
      </c>
    </row>
    <row r="850" spans="1:3" x14ac:dyDescent="0.3">
      <c r="A850" s="98" t="s">
        <v>100</v>
      </c>
      <c r="B850" s="98">
        <v>2001</v>
      </c>
      <c r="C850" s="98">
        <v>7.7969999999999997</v>
      </c>
    </row>
    <row r="851" spans="1:3" x14ac:dyDescent="0.3">
      <c r="A851" s="98" t="s">
        <v>100</v>
      </c>
      <c r="B851" s="98">
        <v>2002</v>
      </c>
      <c r="C851" s="98">
        <v>7.798</v>
      </c>
    </row>
    <row r="852" spans="1:3" x14ac:dyDescent="0.3">
      <c r="A852" s="98" t="s">
        <v>100</v>
      </c>
      <c r="B852" s="98">
        <v>2003</v>
      </c>
      <c r="C852" s="98">
        <v>7.7629999999999999</v>
      </c>
    </row>
    <row r="853" spans="1:3" x14ac:dyDescent="0.3">
      <c r="A853" s="98" t="s">
        <v>100</v>
      </c>
      <c r="B853" s="98">
        <v>2004</v>
      </c>
      <c r="C853" s="98">
        <v>7.7735000000000003</v>
      </c>
    </row>
    <row r="854" spans="1:3" x14ac:dyDescent="0.3">
      <c r="A854" s="98" t="s">
        <v>100</v>
      </c>
      <c r="B854" s="98">
        <v>2005</v>
      </c>
      <c r="C854" s="98">
        <v>7.7525000000000004</v>
      </c>
    </row>
    <row r="855" spans="1:3" x14ac:dyDescent="0.3">
      <c r="A855" s="98" t="s">
        <v>100</v>
      </c>
      <c r="B855" s="98">
        <v>2006</v>
      </c>
      <c r="C855" s="98">
        <v>7.7744999999999997</v>
      </c>
    </row>
    <row r="856" spans="1:3" x14ac:dyDescent="0.3">
      <c r="A856" s="98" t="s">
        <v>100</v>
      </c>
      <c r="B856" s="98">
        <v>2007</v>
      </c>
      <c r="C856" s="98">
        <v>7.8014999999999999</v>
      </c>
    </row>
    <row r="857" spans="1:3" x14ac:dyDescent="0.3">
      <c r="A857" s="98" t="s">
        <v>100</v>
      </c>
      <c r="B857" s="98">
        <v>2008</v>
      </c>
      <c r="C857" s="98">
        <v>7.7504999999999997</v>
      </c>
    </row>
    <row r="858" spans="1:3" x14ac:dyDescent="0.3">
      <c r="A858" s="98" t="s">
        <v>100</v>
      </c>
      <c r="B858" s="98">
        <v>2009</v>
      </c>
      <c r="C858" s="98">
        <v>7.7554999999999996</v>
      </c>
    </row>
    <row r="859" spans="1:3" x14ac:dyDescent="0.3">
      <c r="A859" s="98" t="s">
        <v>100</v>
      </c>
      <c r="B859" s="98">
        <v>2010</v>
      </c>
      <c r="C859" s="98">
        <v>7.7744999999999997</v>
      </c>
    </row>
    <row r="860" spans="1:3" x14ac:dyDescent="0.3">
      <c r="A860" s="98" t="s">
        <v>100</v>
      </c>
      <c r="B860" s="98">
        <v>2011</v>
      </c>
      <c r="C860" s="98">
        <v>7.7655000000000003</v>
      </c>
    </row>
    <row r="861" spans="1:3" x14ac:dyDescent="0.3">
      <c r="A861" s="98" t="s">
        <v>100</v>
      </c>
      <c r="B861" s="98">
        <v>2012</v>
      </c>
      <c r="C861" s="98">
        <v>7.7504999999999997</v>
      </c>
    </row>
    <row r="862" spans="1:3" x14ac:dyDescent="0.3">
      <c r="A862" s="98" t="s">
        <v>100</v>
      </c>
      <c r="B862" s="98">
        <v>2013</v>
      </c>
      <c r="C862" s="98">
        <v>7.7534999999999998</v>
      </c>
    </row>
    <row r="863" spans="1:3" x14ac:dyDescent="0.3">
      <c r="A863" s="98" t="s">
        <v>100</v>
      </c>
      <c r="B863" s="98">
        <v>2014</v>
      </c>
      <c r="C863" s="98">
        <v>7.7554999999999996</v>
      </c>
    </row>
    <row r="864" spans="1:3" x14ac:dyDescent="0.3">
      <c r="A864" s="98" t="s">
        <v>100</v>
      </c>
      <c r="B864" s="98">
        <v>2015</v>
      </c>
      <c r="C864" s="98">
        <v>7.7504999999999997</v>
      </c>
    </row>
    <row r="865" spans="1:3" x14ac:dyDescent="0.3">
      <c r="A865" s="98" t="s">
        <v>100</v>
      </c>
      <c r="B865" s="98">
        <v>2016</v>
      </c>
      <c r="C865" s="98">
        <v>7.7539999999999996</v>
      </c>
    </row>
    <row r="866" spans="1:3" x14ac:dyDescent="0.3">
      <c r="A866" s="98" t="s">
        <v>100</v>
      </c>
      <c r="B866" s="98">
        <v>2017</v>
      </c>
      <c r="C866" s="98">
        <v>7.8140000000000001</v>
      </c>
    </row>
    <row r="867" spans="1:3" x14ac:dyDescent="0.3">
      <c r="A867" s="98" t="s">
        <v>100</v>
      </c>
      <c r="B867" s="98">
        <v>2018</v>
      </c>
      <c r="C867" s="98">
        <v>7.8339999999999996</v>
      </c>
    </row>
    <row r="868" spans="1:3" x14ac:dyDescent="0.3">
      <c r="A868" s="98" t="s">
        <v>100</v>
      </c>
      <c r="B868" s="98">
        <v>2019</v>
      </c>
      <c r="C868" s="98">
        <v>7.7869999999999999</v>
      </c>
    </row>
    <row r="869" spans="1:3" x14ac:dyDescent="0.3">
      <c r="A869" s="98" t="s">
        <v>100</v>
      </c>
      <c r="B869" s="98">
        <v>2020</v>
      </c>
      <c r="C869" s="98">
        <v>7.7530000000000001</v>
      </c>
    </row>
    <row r="870" spans="1:3" x14ac:dyDescent="0.3">
      <c r="A870" s="98" t="s">
        <v>100</v>
      </c>
      <c r="B870" s="98">
        <v>2021</v>
      </c>
      <c r="C870" s="98">
        <v>7.798</v>
      </c>
    </row>
    <row r="871" spans="1:3" x14ac:dyDescent="0.3">
      <c r="A871" s="98" t="s">
        <v>100</v>
      </c>
      <c r="B871" s="98">
        <v>2022</v>
      </c>
      <c r="C871" s="98">
        <v>7.8079999999999998</v>
      </c>
    </row>
    <row r="872" spans="1:3" x14ac:dyDescent="0.3">
      <c r="A872" s="98" t="s">
        <v>101</v>
      </c>
      <c r="B872" s="98">
        <v>2001</v>
      </c>
      <c r="C872" s="98">
        <v>8.0312999999999999</v>
      </c>
    </row>
    <row r="873" spans="1:3" x14ac:dyDescent="0.3">
      <c r="A873" s="98" t="s">
        <v>101</v>
      </c>
      <c r="B873" s="98">
        <v>2002</v>
      </c>
      <c r="C873" s="98">
        <v>8.0327999999999999</v>
      </c>
    </row>
    <row r="874" spans="1:3" x14ac:dyDescent="0.3">
      <c r="A874" s="98" t="s">
        <v>101</v>
      </c>
      <c r="B874" s="98">
        <v>2003</v>
      </c>
      <c r="C874" s="98">
        <v>7.9969000000000001</v>
      </c>
    </row>
    <row r="875" spans="1:3" x14ac:dyDescent="0.3">
      <c r="A875" s="98" t="s">
        <v>101</v>
      </c>
      <c r="B875" s="98">
        <v>2004</v>
      </c>
      <c r="C875" s="98">
        <v>8.0094999999999992</v>
      </c>
    </row>
    <row r="876" spans="1:3" x14ac:dyDescent="0.3">
      <c r="A876" s="98" t="s">
        <v>101</v>
      </c>
      <c r="B876" s="98">
        <v>2005</v>
      </c>
      <c r="C876" s="98">
        <v>7.9870999999999999</v>
      </c>
    </row>
    <row r="877" spans="1:3" x14ac:dyDescent="0.3">
      <c r="A877" s="98" t="s">
        <v>101</v>
      </c>
      <c r="B877" s="98">
        <v>2006</v>
      </c>
      <c r="C877" s="98">
        <v>8.0059000000000005</v>
      </c>
    </row>
    <row r="878" spans="1:3" x14ac:dyDescent="0.3">
      <c r="A878" s="98" t="s">
        <v>101</v>
      </c>
      <c r="B878" s="98">
        <v>2007</v>
      </c>
      <c r="C878" s="98">
        <v>8.0341000000000005</v>
      </c>
    </row>
    <row r="879" spans="1:3" x14ac:dyDescent="0.3">
      <c r="A879" s="98" t="s">
        <v>101</v>
      </c>
      <c r="B879" s="98">
        <v>2008</v>
      </c>
      <c r="C879" s="98">
        <v>7.9824000000000002</v>
      </c>
    </row>
    <row r="880" spans="1:3" x14ac:dyDescent="0.3">
      <c r="A880" s="98" t="s">
        <v>101</v>
      </c>
      <c r="B880" s="98">
        <v>2009</v>
      </c>
      <c r="C880" s="98">
        <v>7.9878</v>
      </c>
    </row>
    <row r="881" spans="1:3" x14ac:dyDescent="0.3">
      <c r="A881" s="98" t="s">
        <v>101</v>
      </c>
      <c r="B881" s="98">
        <v>2010</v>
      </c>
      <c r="C881" s="98">
        <v>8.0158000000000005</v>
      </c>
    </row>
    <row r="882" spans="1:3" x14ac:dyDescent="0.3">
      <c r="A882" s="98" t="s">
        <v>101</v>
      </c>
      <c r="B882" s="98">
        <v>2011</v>
      </c>
      <c r="C882" s="98">
        <v>8.0046999999999997</v>
      </c>
    </row>
    <row r="883" spans="1:3" x14ac:dyDescent="0.3">
      <c r="A883" s="98" t="s">
        <v>101</v>
      </c>
      <c r="B883" s="98">
        <v>2012</v>
      </c>
      <c r="C883" s="98">
        <v>7.984</v>
      </c>
    </row>
    <row r="884" spans="1:3" x14ac:dyDescent="0.3">
      <c r="A884" s="98" t="s">
        <v>101</v>
      </c>
      <c r="B884" s="98">
        <v>2013</v>
      </c>
      <c r="C884" s="98">
        <v>7.9867999999999997</v>
      </c>
    </row>
    <row r="885" spans="1:3" x14ac:dyDescent="0.3">
      <c r="A885" s="98" t="s">
        <v>101</v>
      </c>
      <c r="B885" s="98">
        <v>2014</v>
      </c>
      <c r="C885" s="98">
        <v>7.9898999999999996</v>
      </c>
    </row>
    <row r="886" spans="1:3" x14ac:dyDescent="0.3">
      <c r="A886" s="98" t="s">
        <v>101</v>
      </c>
      <c r="B886" s="98">
        <v>2015</v>
      </c>
      <c r="C886" s="98">
        <v>7.9833999999999996</v>
      </c>
    </row>
    <row r="887" spans="1:3" x14ac:dyDescent="0.3">
      <c r="A887" s="98" t="s">
        <v>101</v>
      </c>
      <c r="B887" s="98">
        <v>2016</v>
      </c>
      <c r="C887" s="98">
        <v>7.9877000000000002</v>
      </c>
    </row>
    <row r="888" spans="1:3" x14ac:dyDescent="0.3">
      <c r="A888" s="98" t="s">
        <v>101</v>
      </c>
      <c r="B888" s="98">
        <v>2017</v>
      </c>
      <c r="C888" s="98">
        <v>8.0518000000000001</v>
      </c>
    </row>
    <row r="889" spans="1:3" x14ac:dyDescent="0.3">
      <c r="A889" s="98" t="s">
        <v>101</v>
      </c>
      <c r="B889" s="98">
        <v>2018</v>
      </c>
      <c r="C889" s="98">
        <v>8.0663999999999998</v>
      </c>
    </row>
    <row r="890" spans="1:3" x14ac:dyDescent="0.3">
      <c r="A890" s="98" t="s">
        <v>101</v>
      </c>
      <c r="B890" s="98">
        <v>2019</v>
      </c>
      <c r="C890" s="98">
        <v>8.0215999999999994</v>
      </c>
    </row>
    <row r="891" spans="1:3" x14ac:dyDescent="0.3">
      <c r="A891" s="98" t="s">
        <v>101</v>
      </c>
      <c r="B891" s="98">
        <v>2020</v>
      </c>
      <c r="C891" s="98">
        <v>7.9851999999999999</v>
      </c>
    </row>
    <row r="892" spans="1:3" x14ac:dyDescent="0.3">
      <c r="A892" s="98" t="s">
        <v>101</v>
      </c>
      <c r="B892" s="98">
        <v>2021</v>
      </c>
      <c r="C892" s="98">
        <v>8.0319000000000003</v>
      </c>
    </row>
    <row r="893" spans="1:3" x14ac:dyDescent="0.3">
      <c r="A893" s="98" t="s">
        <v>101</v>
      </c>
      <c r="B893" s="98">
        <v>2022</v>
      </c>
      <c r="C893" s="98">
        <v>8.0307999999999993</v>
      </c>
    </row>
    <row r="894" spans="1:3" x14ac:dyDescent="0.3">
      <c r="A894" s="98" t="s">
        <v>102</v>
      </c>
      <c r="B894" s="98">
        <v>2001</v>
      </c>
      <c r="C894" s="98">
        <v>8.2767999999999997</v>
      </c>
    </row>
    <row r="895" spans="1:3" x14ac:dyDescent="0.3">
      <c r="A895" s="98" t="s">
        <v>102</v>
      </c>
      <c r="B895" s="98">
        <v>2002</v>
      </c>
      <c r="C895" s="98">
        <v>8.2773000000000003</v>
      </c>
    </row>
    <row r="896" spans="1:3" x14ac:dyDescent="0.3">
      <c r="A896" s="98" t="s">
        <v>102</v>
      </c>
      <c r="B896" s="98">
        <v>2003</v>
      </c>
      <c r="C896" s="98">
        <v>8.2766999999999999</v>
      </c>
    </row>
    <row r="897" spans="1:3" x14ac:dyDescent="0.3">
      <c r="A897" s="98" t="s">
        <v>102</v>
      </c>
      <c r="B897" s="98">
        <v>2004</v>
      </c>
      <c r="C897" s="98">
        <v>8.2765000000000004</v>
      </c>
    </row>
    <row r="898" spans="1:3" x14ac:dyDescent="0.3">
      <c r="A898" s="98" t="s">
        <v>102</v>
      </c>
      <c r="B898" s="98">
        <v>2005</v>
      </c>
      <c r="C898" s="98">
        <v>8.0701999999999998</v>
      </c>
    </row>
    <row r="899" spans="1:3" x14ac:dyDescent="0.3">
      <c r="A899" s="98" t="s">
        <v>102</v>
      </c>
      <c r="B899" s="98">
        <v>2006</v>
      </c>
      <c r="C899" s="98">
        <v>7.8087</v>
      </c>
    </row>
    <row r="900" spans="1:3" x14ac:dyDescent="0.3">
      <c r="A900" s="98" t="s">
        <v>102</v>
      </c>
      <c r="B900" s="98">
        <v>2007</v>
      </c>
      <c r="C900" s="98">
        <v>7.3045999999999998</v>
      </c>
    </row>
    <row r="901" spans="1:3" x14ac:dyDescent="0.3">
      <c r="A901" s="98" t="s">
        <v>102</v>
      </c>
      <c r="B901" s="98">
        <v>2008</v>
      </c>
      <c r="C901" s="98">
        <v>6.8346</v>
      </c>
    </row>
    <row r="902" spans="1:3" x14ac:dyDescent="0.3">
      <c r="A902" s="98" t="s">
        <v>102</v>
      </c>
      <c r="B902" s="98">
        <v>2009</v>
      </c>
      <c r="C902" s="98">
        <v>6.8281999999999998</v>
      </c>
    </row>
    <row r="903" spans="1:3" x14ac:dyDescent="0.3">
      <c r="A903" s="98" t="s">
        <v>102</v>
      </c>
      <c r="B903" s="98">
        <v>2010</v>
      </c>
      <c r="C903" s="98">
        <v>6.6228999999999996</v>
      </c>
    </row>
    <row r="904" spans="1:3" x14ac:dyDescent="0.3">
      <c r="A904" s="98" t="s">
        <v>102</v>
      </c>
      <c r="B904" s="98">
        <v>2011</v>
      </c>
      <c r="C904" s="98">
        <v>6.3009000000000004</v>
      </c>
    </row>
    <row r="905" spans="1:3" x14ac:dyDescent="0.3">
      <c r="A905" s="98" t="s">
        <v>102</v>
      </c>
      <c r="B905" s="98">
        <v>2012</v>
      </c>
      <c r="C905" s="98">
        <v>6.2896000000000001</v>
      </c>
    </row>
    <row r="906" spans="1:3" x14ac:dyDescent="0.3">
      <c r="A906" s="98" t="s">
        <v>102</v>
      </c>
      <c r="B906" s="98">
        <v>2013</v>
      </c>
      <c r="C906" s="98">
        <v>6.1024000000000003</v>
      </c>
    </row>
    <row r="907" spans="1:3" x14ac:dyDescent="0.3">
      <c r="A907" s="98" t="s">
        <v>102</v>
      </c>
      <c r="B907" s="98">
        <v>2014</v>
      </c>
      <c r="C907" s="98">
        <v>6.1189999999999998</v>
      </c>
    </row>
    <row r="908" spans="1:3" x14ac:dyDescent="0.3">
      <c r="A908" s="98" t="s">
        <v>102</v>
      </c>
      <c r="B908" s="98">
        <v>2015</v>
      </c>
      <c r="C908" s="98">
        <v>6.4915000000000003</v>
      </c>
    </row>
    <row r="909" spans="1:3" x14ac:dyDescent="0.3">
      <c r="A909" s="98" t="s">
        <v>102</v>
      </c>
      <c r="B909" s="98">
        <v>2016</v>
      </c>
      <c r="C909" s="98">
        <v>6.9497999999999998</v>
      </c>
    </row>
    <row r="910" spans="1:3" x14ac:dyDescent="0.3">
      <c r="A910" s="98" t="s">
        <v>102</v>
      </c>
      <c r="B910" s="98">
        <v>2017</v>
      </c>
      <c r="C910" s="98">
        <v>6.5115999999999996</v>
      </c>
    </row>
    <row r="911" spans="1:3" x14ac:dyDescent="0.3">
      <c r="A911" s="98" t="s">
        <v>102</v>
      </c>
      <c r="B911" s="98">
        <v>2018</v>
      </c>
      <c r="C911" s="98">
        <v>6.8529999999999998</v>
      </c>
    </row>
    <row r="912" spans="1:3" x14ac:dyDescent="0.3">
      <c r="A912" s="98" t="s">
        <v>102</v>
      </c>
      <c r="B912" s="98">
        <v>2019</v>
      </c>
      <c r="C912" s="98">
        <v>6.9870000000000001</v>
      </c>
    </row>
    <row r="913" spans="1:3" x14ac:dyDescent="0.3">
      <c r="A913" s="98" t="s">
        <v>102</v>
      </c>
      <c r="B913" s="98">
        <v>2020</v>
      </c>
      <c r="C913" s="98">
        <v>6.5349000000000004</v>
      </c>
    </row>
    <row r="914" spans="1:3" x14ac:dyDescent="0.3">
      <c r="A914" s="98" t="s">
        <v>102</v>
      </c>
      <c r="B914" s="98">
        <v>2021</v>
      </c>
      <c r="C914" s="98">
        <v>6.3704000000000001</v>
      </c>
    </row>
    <row r="915" spans="1:3" x14ac:dyDescent="0.3">
      <c r="A915" s="98" t="s">
        <v>102</v>
      </c>
      <c r="B915" s="98">
        <v>2022</v>
      </c>
      <c r="C915" s="98">
        <v>6.9859999999999998</v>
      </c>
    </row>
    <row r="916" spans="1:3" x14ac:dyDescent="0.3">
      <c r="A916" s="98" t="s">
        <v>103</v>
      </c>
      <c r="B916" s="98">
        <v>2001</v>
      </c>
      <c r="C916" s="98">
        <v>2291.1799999999998</v>
      </c>
    </row>
    <row r="917" spans="1:3" x14ac:dyDescent="0.3">
      <c r="A917" s="98" t="s">
        <v>103</v>
      </c>
      <c r="B917" s="98">
        <v>2002</v>
      </c>
      <c r="C917" s="98">
        <v>2864.79</v>
      </c>
    </row>
    <row r="918" spans="1:3" x14ac:dyDescent="0.3">
      <c r="A918" s="98" t="s">
        <v>103</v>
      </c>
      <c r="B918" s="98">
        <v>2003</v>
      </c>
      <c r="C918" s="98">
        <v>2778.21</v>
      </c>
    </row>
    <row r="919" spans="1:3" x14ac:dyDescent="0.3">
      <c r="A919" s="98" t="s">
        <v>103</v>
      </c>
      <c r="B919" s="98">
        <v>2004</v>
      </c>
      <c r="C919" s="98">
        <v>2389.75</v>
      </c>
    </row>
    <row r="920" spans="1:3" x14ac:dyDescent="0.3">
      <c r="A920" s="98" t="s">
        <v>103</v>
      </c>
      <c r="B920" s="98">
        <v>2005</v>
      </c>
      <c r="C920" s="98">
        <v>2284.2199999999998</v>
      </c>
    </row>
    <row r="921" spans="1:3" x14ac:dyDescent="0.3">
      <c r="A921" s="98" t="s">
        <v>103</v>
      </c>
      <c r="B921" s="98">
        <v>2006</v>
      </c>
      <c r="C921" s="98">
        <v>2238.79</v>
      </c>
    </row>
    <row r="922" spans="1:3" x14ac:dyDescent="0.3">
      <c r="A922" s="98" t="s">
        <v>103</v>
      </c>
      <c r="B922" s="98">
        <v>2007</v>
      </c>
      <c r="C922" s="98">
        <v>2014.76</v>
      </c>
    </row>
    <row r="923" spans="1:3" x14ac:dyDescent="0.3">
      <c r="A923" s="98" t="s">
        <v>103</v>
      </c>
      <c r="B923" s="98">
        <v>2008</v>
      </c>
      <c r="C923" s="98">
        <v>2243.59</v>
      </c>
    </row>
    <row r="924" spans="1:3" x14ac:dyDescent="0.3">
      <c r="A924" s="98" t="s">
        <v>103</v>
      </c>
      <c r="B924" s="98">
        <v>2009</v>
      </c>
      <c r="C924" s="98">
        <v>2044.23</v>
      </c>
    </row>
    <row r="925" spans="1:3" x14ac:dyDescent="0.3">
      <c r="A925" s="98" t="s">
        <v>103</v>
      </c>
      <c r="B925" s="98">
        <v>2010</v>
      </c>
      <c r="C925" s="98">
        <v>1913.98</v>
      </c>
    </row>
    <row r="926" spans="1:3" x14ac:dyDescent="0.3">
      <c r="A926" s="98" t="s">
        <v>103</v>
      </c>
      <c r="B926" s="98">
        <v>2011</v>
      </c>
      <c r="C926" s="98">
        <v>1942.7</v>
      </c>
    </row>
    <row r="927" spans="1:3" x14ac:dyDescent="0.3">
      <c r="A927" s="98" t="s">
        <v>103</v>
      </c>
      <c r="B927" s="98">
        <v>2012</v>
      </c>
      <c r="C927" s="98">
        <v>1768.23</v>
      </c>
    </row>
    <row r="928" spans="1:3" x14ac:dyDescent="0.3">
      <c r="A928" s="98" t="s">
        <v>103</v>
      </c>
      <c r="B928" s="98">
        <v>2013</v>
      </c>
      <c r="C928" s="98">
        <v>1926.83</v>
      </c>
    </row>
    <row r="929" spans="1:3" x14ac:dyDescent="0.3">
      <c r="A929" s="98" t="s">
        <v>103</v>
      </c>
      <c r="B929" s="98">
        <v>2014</v>
      </c>
      <c r="C929" s="98">
        <v>2392.46</v>
      </c>
    </row>
    <row r="930" spans="1:3" x14ac:dyDescent="0.3">
      <c r="A930" s="98" t="s">
        <v>103</v>
      </c>
      <c r="B930" s="98">
        <v>2015</v>
      </c>
      <c r="C930" s="98">
        <v>3149.47</v>
      </c>
    </row>
    <row r="931" spans="1:3" x14ac:dyDescent="0.3">
      <c r="A931" s="98" t="s">
        <v>103</v>
      </c>
      <c r="B931" s="98">
        <v>2016</v>
      </c>
      <c r="C931" s="98">
        <v>3000.71</v>
      </c>
    </row>
    <row r="932" spans="1:3" x14ac:dyDescent="0.3">
      <c r="A932" s="98" t="s">
        <v>103</v>
      </c>
      <c r="B932" s="98">
        <v>2017</v>
      </c>
      <c r="C932" s="98">
        <v>2971.63</v>
      </c>
    </row>
    <row r="933" spans="1:3" x14ac:dyDescent="0.3">
      <c r="A933" s="98" t="s">
        <v>103</v>
      </c>
      <c r="B933" s="98">
        <v>2018</v>
      </c>
      <c r="C933" s="98">
        <v>3275.01</v>
      </c>
    </row>
    <row r="934" spans="1:3" x14ac:dyDescent="0.3">
      <c r="A934" s="98" t="s">
        <v>103</v>
      </c>
      <c r="B934" s="98">
        <v>2019</v>
      </c>
      <c r="C934" s="98">
        <v>3277.14</v>
      </c>
    </row>
    <row r="935" spans="1:3" x14ac:dyDescent="0.3">
      <c r="A935" s="98" t="s">
        <v>103</v>
      </c>
      <c r="B935" s="98">
        <v>2020</v>
      </c>
      <c r="C935" s="98">
        <v>3432.5</v>
      </c>
    </row>
    <row r="936" spans="1:3" x14ac:dyDescent="0.3">
      <c r="A936" s="98" t="s">
        <v>103</v>
      </c>
      <c r="B936" s="98">
        <v>2021</v>
      </c>
      <c r="C936" s="98">
        <v>3981.16</v>
      </c>
    </row>
    <row r="937" spans="1:3" x14ac:dyDescent="0.3">
      <c r="A937" s="98" t="s">
        <v>103</v>
      </c>
      <c r="B937" s="98">
        <v>2022</v>
      </c>
      <c r="C937" s="98">
        <v>4810.2</v>
      </c>
    </row>
    <row r="938" spans="1:3" x14ac:dyDescent="0.3">
      <c r="A938" s="98" t="s">
        <v>104</v>
      </c>
      <c r="B938" s="98">
        <v>2001</v>
      </c>
      <c r="C938" s="98">
        <v>558.2296</v>
      </c>
    </row>
    <row r="939" spans="1:3" x14ac:dyDescent="0.3">
      <c r="A939" s="98" t="s">
        <v>104</v>
      </c>
      <c r="B939" s="98">
        <v>2002</v>
      </c>
      <c r="C939" s="98">
        <v>469.12153000000001</v>
      </c>
    </row>
    <row r="940" spans="1:3" x14ac:dyDescent="0.3">
      <c r="A940" s="98" t="s">
        <v>104</v>
      </c>
      <c r="B940" s="98">
        <v>2003</v>
      </c>
      <c r="C940" s="98">
        <v>389.52316000000002</v>
      </c>
    </row>
    <row r="941" spans="1:3" x14ac:dyDescent="0.3">
      <c r="A941" s="98" t="s">
        <v>104</v>
      </c>
      <c r="B941" s="98">
        <v>2004</v>
      </c>
      <c r="C941" s="98">
        <v>361.18328000000002</v>
      </c>
    </row>
    <row r="942" spans="1:3" x14ac:dyDescent="0.3">
      <c r="A942" s="98" t="s">
        <v>104</v>
      </c>
      <c r="B942" s="98">
        <v>2005</v>
      </c>
      <c r="C942" s="98">
        <v>417.02785</v>
      </c>
    </row>
    <row r="943" spans="1:3" x14ac:dyDescent="0.3">
      <c r="A943" s="98" t="s">
        <v>104</v>
      </c>
      <c r="B943" s="98">
        <v>2006</v>
      </c>
      <c r="C943" s="98">
        <v>373.55182000000002</v>
      </c>
    </row>
    <row r="944" spans="1:3" x14ac:dyDescent="0.3">
      <c r="A944" s="98" t="s">
        <v>104</v>
      </c>
      <c r="B944" s="98">
        <v>2007</v>
      </c>
      <c r="C944" s="98">
        <v>334.19452000000001</v>
      </c>
    </row>
    <row r="945" spans="1:3" x14ac:dyDescent="0.3">
      <c r="A945" s="98" t="s">
        <v>104</v>
      </c>
      <c r="B945" s="98">
        <v>2008</v>
      </c>
      <c r="C945" s="98">
        <v>353.50128999999998</v>
      </c>
    </row>
    <row r="946" spans="1:3" x14ac:dyDescent="0.3">
      <c r="A946" s="98" t="s">
        <v>104</v>
      </c>
      <c r="B946" s="98">
        <v>2009</v>
      </c>
      <c r="C946" s="98">
        <v>341.50198</v>
      </c>
    </row>
    <row r="947" spans="1:3" x14ac:dyDescent="0.3">
      <c r="A947" s="98" t="s">
        <v>104</v>
      </c>
      <c r="B947" s="98">
        <v>2010</v>
      </c>
      <c r="C947" s="98">
        <v>368.18421999999998</v>
      </c>
    </row>
    <row r="948" spans="1:3" x14ac:dyDescent="0.3">
      <c r="A948" s="98" t="s">
        <v>104</v>
      </c>
      <c r="B948" s="98">
        <v>2011</v>
      </c>
      <c r="C948" s="98">
        <v>380.22084000000001</v>
      </c>
    </row>
    <row r="949" spans="1:3" x14ac:dyDescent="0.3">
      <c r="A949" s="98" t="s">
        <v>104</v>
      </c>
      <c r="B949" s="98">
        <v>2012</v>
      </c>
      <c r="C949" s="98">
        <v>372.87232999999998</v>
      </c>
    </row>
    <row r="950" spans="1:3" x14ac:dyDescent="0.3">
      <c r="A950" s="98" t="s">
        <v>104</v>
      </c>
      <c r="B950" s="98">
        <v>2013</v>
      </c>
      <c r="C950" s="98">
        <v>356.73102</v>
      </c>
    </row>
    <row r="951" spans="1:3" x14ac:dyDescent="0.3">
      <c r="A951" s="98" t="s">
        <v>104</v>
      </c>
      <c r="B951" s="98">
        <v>2014</v>
      </c>
      <c r="C951" s="98">
        <v>405.21188999999998</v>
      </c>
    </row>
    <row r="952" spans="1:3" x14ac:dyDescent="0.3">
      <c r="A952" s="98" t="s">
        <v>104</v>
      </c>
      <c r="B952" s="98">
        <v>2015</v>
      </c>
      <c r="C952" s="98">
        <v>451.88551000000001</v>
      </c>
    </row>
    <row r="953" spans="1:3" x14ac:dyDescent="0.3">
      <c r="A953" s="98" t="s">
        <v>104</v>
      </c>
      <c r="B953" s="98">
        <v>2016</v>
      </c>
      <c r="C953" s="98">
        <v>466.71829000000002</v>
      </c>
    </row>
    <row r="954" spans="1:3" x14ac:dyDescent="0.3">
      <c r="A954" s="98" t="s">
        <v>104</v>
      </c>
      <c r="B954" s="98">
        <v>2017</v>
      </c>
      <c r="C954" s="98">
        <v>410.21242000000001</v>
      </c>
    </row>
    <row r="955" spans="1:3" x14ac:dyDescent="0.3">
      <c r="A955" s="98" t="s">
        <v>104</v>
      </c>
      <c r="B955" s="98">
        <v>2018</v>
      </c>
      <c r="C955" s="98">
        <v>429.66615999999999</v>
      </c>
    </row>
    <row r="956" spans="1:3" x14ac:dyDescent="0.3">
      <c r="A956" s="98" t="s">
        <v>104</v>
      </c>
      <c r="B956" s="98">
        <v>2019</v>
      </c>
      <c r="C956" s="98">
        <v>437.92750000000001</v>
      </c>
    </row>
    <row r="957" spans="1:3" x14ac:dyDescent="0.3">
      <c r="A957" s="98" t="s">
        <v>104</v>
      </c>
      <c r="B957" s="98">
        <v>2020</v>
      </c>
      <c r="C957" s="98">
        <v>400.91904</v>
      </c>
    </row>
    <row r="958" spans="1:3" x14ac:dyDescent="0.3">
      <c r="A958" s="98" t="s">
        <v>104</v>
      </c>
      <c r="B958" s="98">
        <v>2021</v>
      </c>
      <c r="C958" s="98">
        <v>434.37025</v>
      </c>
    </row>
    <row r="959" spans="1:3" x14ac:dyDescent="0.3">
      <c r="A959" s="98" t="s">
        <v>104</v>
      </c>
      <c r="B959" s="98">
        <v>2022</v>
      </c>
      <c r="C959" s="98">
        <v>461.24858999999998</v>
      </c>
    </row>
    <row r="960" spans="1:3" x14ac:dyDescent="0.3">
      <c r="A960" s="98" t="s">
        <v>105</v>
      </c>
      <c r="B960" s="98">
        <v>2001</v>
      </c>
      <c r="C960" s="98">
        <v>313.59996000000001</v>
      </c>
    </row>
    <row r="961" spans="1:3" x14ac:dyDescent="0.3">
      <c r="A961" s="98" t="s">
        <v>105</v>
      </c>
      <c r="B961" s="98">
        <v>2002</v>
      </c>
      <c r="C961" s="98">
        <v>382.13995999999997</v>
      </c>
    </row>
    <row r="962" spans="1:3" x14ac:dyDescent="0.3">
      <c r="A962" s="98" t="s">
        <v>105</v>
      </c>
      <c r="B962" s="98">
        <v>2003</v>
      </c>
      <c r="C962" s="98">
        <v>372.5204</v>
      </c>
    </row>
    <row r="963" spans="1:3" x14ac:dyDescent="0.3">
      <c r="A963" s="98" t="s">
        <v>105</v>
      </c>
      <c r="B963" s="98">
        <v>2004</v>
      </c>
      <c r="C963" s="98">
        <v>444.08769999999998</v>
      </c>
    </row>
    <row r="964" spans="1:3" x14ac:dyDescent="0.3">
      <c r="A964" s="98" t="s">
        <v>105</v>
      </c>
      <c r="B964" s="98">
        <v>2005</v>
      </c>
      <c r="C964" s="98">
        <v>431.27879999999999</v>
      </c>
    </row>
    <row r="965" spans="1:3" x14ac:dyDescent="0.3">
      <c r="A965" s="98" t="s">
        <v>105</v>
      </c>
      <c r="B965" s="98">
        <v>2006</v>
      </c>
      <c r="C965" s="98">
        <v>503.42970000000003</v>
      </c>
    </row>
    <row r="966" spans="1:3" x14ac:dyDescent="0.3">
      <c r="A966" s="98" t="s">
        <v>105</v>
      </c>
      <c r="B966" s="98">
        <v>2007</v>
      </c>
      <c r="C966" s="98">
        <v>502.98599999999999</v>
      </c>
    </row>
    <row r="967" spans="1:3" x14ac:dyDescent="0.3">
      <c r="A967" s="98" t="s">
        <v>105</v>
      </c>
      <c r="B967" s="98">
        <v>2008</v>
      </c>
      <c r="C967" s="98">
        <v>639.32000000000005</v>
      </c>
    </row>
    <row r="968" spans="1:3" x14ac:dyDescent="0.3">
      <c r="A968" s="98" t="s">
        <v>105</v>
      </c>
      <c r="B968" s="98">
        <v>2009</v>
      </c>
      <c r="C968" s="98">
        <v>902.66</v>
      </c>
    </row>
    <row r="969" spans="1:3" x14ac:dyDescent="0.3">
      <c r="A969" s="98" t="s">
        <v>105</v>
      </c>
      <c r="B969" s="98">
        <v>2010</v>
      </c>
      <c r="C969" s="98">
        <v>915.12950000000001</v>
      </c>
    </row>
    <row r="970" spans="1:3" x14ac:dyDescent="0.3">
      <c r="A970" s="98" t="s">
        <v>105</v>
      </c>
      <c r="B970" s="98">
        <v>2011</v>
      </c>
      <c r="C970" s="98">
        <v>910.65030000000002</v>
      </c>
    </row>
    <row r="971" spans="1:3" x14ac:dyDescent="0.3">
      <c r="A971" s="98" t="s">
        <v>105</v>
      </c>
      <c r="B971" s="98">
        <v>2012</v>
      </c>
      <c r="C971" s="98">
        <v>915.17470000000003</v>
      </c>
    </row>
    <row r="972" spans="1:3" x14ac:dyDescent="0.3">
      <c r="A972" s="98" t="s">
        <v>105</v>
      </c>
      <c r="B972" s="98">
        <v>2013</v>
      </c>
      <c r="C972" s="98">
        <v>925.50329999999997</v>
      </c>
    </row>
    <row r="973" spans="1:3" x14ac:dyDescent="0.3">
      <c r="A973" s="98" t="s">
        <v>105</v>
      </c>
      <c r="B973" s="98">
        <v>2014</v>
      </c>
      <c r="C973" s="98">
        <v>924.50900000000001</v>
      </c>
    </row>
    <row r="974" spans="1:3" x14ac:dyDescent="0.3">
      <c r="A974" s="98" t="s">
        <v>105</v>
      </c>
      <c r="B974" s="98">
        <v>2015</v>
      </c>
      <c r="C974" s="98">
        <v>926.76049999999998</v>
      </c>
    </row>
    <row r="975" spans="1:3" x14ac:dyDescent="0.3">
      <c r="A975" s="98" t="s">
        <v>105</v>
      </c>
      <c r="B975" s="98">
        <v>2016</v>
      </c>
      <c r="C975" s="98">
        <v>1215.5887</v>
      </c>
    </row>
    <row r="976" spans="1:3" x14ac:dyDescent="0.3">
      <c r="A976" s="98" t="s">
        <v>105</v>
      </c>
      <c r="B976" s="98">
        <v>2017</v>
      </c>
      <c r="C976" s="98">
        <v>1592.1927000000001</v>
      </c>
    </row>
    <row r="977" spans="1:3" x14ac:dyDescent="0.3">
      <c r="A977" s="98" t="s">
        <v>105</v>
      </c>
      <c r="B977" s="98">
        <v>2018</v>
      </c>
      <c r="C977" s="98">
        <v>1635.6152999999999</v>
      </c>
    </row>
    <row r="978" spans="1:3" x14ac:dyDescent="0.3">
      <c r="A978" s="98" t="s">
        <v>105</v>
      </c>
      <c r="B978" s="98">
        <v>2019</v>
      </c>
      <c r="C978" s="98">
        <v>1672.9467</v>
      </c>
    </row>
    <row r="979" spans="1:3" x14ac:dyDescent="0.3">
      <c r="A979" s="98" t="s">
        <v>105</v>
      </c>
      <c r="B979" s="98">
        <v>2020</v>
      </c>
      <c r="C979" s="98">
        <v>1971.8050000000001</v>
      </c>
    </row>
    <row r="980" spans="1:3" x14ac:dyDescent="0.3">
      <c r="A980" s="98" t="s">
        <v>105</v>
      </c>
      <c r="B980" s="98">
        <v>2021</v>
      </c>
      <c r="C980" s="98">
        <v>1999.9746</v>
      </c>
    </row>
    <row r="981" spans="1:3" x14ac:dyDescent="0.3">
      <c r="A981" s="98" t="s">
        <v>105</v>
      </c>
      <c r="B981" s="98">
        <v>2022</v>
      </c>
    </row>
    <row r="982" spans="1:3" x14ac:dyDescent="0.3">
      <c r="A982" s="98" t="s">
        <v>106</v>
      </c>
      <c r="B982" s="98">
        <v>2001</v>
      </c>
      <c r="C982" s="98">
        <v>744.30614000000003</v>
      </c>
    </row>
    <row r="983" spans="1:3" x14ac:dyDescent="0.3">
      <c r="A983" s="98" t="s">
        <v>106</v>
      </c>
      <c r="B983" s="98">
        <v>2002</v>
      </c>
      <c r="C983" s="98">
        <v>625.49537999999995</v>
      </c>
    </row>
    <row r="984" spans="1:3" x14ac:dyDescent="0.3">
      <c r="A984" s="98" t="s">
        <v>106</v>
      </c>
      <c r="B984" s="98">
        <v>2003</v>
      </c>
      <c r="C984" s="98">
        <v>519.36420999999996</v>
      </c>
    </row>
    <row r="985" spans="1:3" x14ac:dyDescent="0.3">
      <c r="A985" s="98" t="s">
        <v>106</v>
      </c>
      <c r="B985" s="98">
        <v>2004</v>
      </c>
      <c r="C985" s="98">
        <v>481.57771000000002</v>
      </c>
    </row>
    <row r="986" spans="1:3" x14ac:dyDescent="0.3">
      <c r="A986" s="98" t="s">
        <v>106</v>
      </c>
      <c r="B986" s="98">
        <v>2005</v>
      </c>
      <c r="C986" s="98">
        <v>556.03713000000005</v>
      </c>
    </row>
    <row r="987" spans="1:3" x14ac:dyDescent="0.3">
      <c r="A987" s="98" t="s">
        <v>106</v>
      </c>
      <c r="B987" s="98">
        <v>2006</v>
      </c>
      <c r="C987" s="98">
        <v>498.06909999999999</v>
      </c>
    </row>
    <row r="988" spans="1:3" x14ac:dyDescent="0.3">
      <c r="A988" s="98" t="s">
        <v>106</v>
      </c>
      <c r="B988" s="98">
        <v>2007</v>
      </c>
      <c r="C988" s="98">
        <v>445.59269</v>
      </c>
    </row>
    <row r="989" spans="1:3" x14ac:dyDescent="0.3">
      <c r="A989" s="98" t="s">
        <v>106</v>
      </c>
      <c r="B989" s="98">
        <v>2008</v>
      </c>
      <c r="C989" s="98">
        <v>471.33506</v>
      </c>
    </row>
    <row r="990" spans="1:3" x14ac:dyDescent="0.3">
      <c r="A990" s="98" t="s">
        <v>106</v>
      </c>
      <c r="B990" s="98">
        <v>2009</v>
      </c>
      <c r="C990" s="98">
        <v>455.33596999999997</v>
      </c>
    </row>
    <row r="991" spans="1:3" x14ac:dyDescent="0.3">
      <c r="A991" s="98" t="s">
        <v>106</v>
      </c>
      <c r="B991" s="98">
        <v>2010</v>
      </c>
      <c r="C991" s="98">
        <v>490.91228999999998</v>
      </c>
    </row>
    <row r="992" spans="1:3" x14ac:dyDescent="0.3">
      <c r="A992" s="98" t="s">
        <v>106</v>
      </c>
      <c r="B992" s="98">
        <v>2011</v>
      </c>
      <c r="C992" s="98">
        <v>506.96113000000003</v>
      </c>
    </row>
    <row r="993" spans="1:3" x14ac:dyDescent="0.3">
      <c r="A993" s="98" t="s">
        <v>106</v>
      </c>
      <c r="B993" s="98">
        <v>2012</v>
      </c>
      <c r="C993" s="98">
        <v>497.16309999999999</v>
      </c>
    </row>
    <row r="994" spans="1:3" x14ac:dyDescent="0.3">
      <c r="A994" s="98" t="s">
        <v>106</v>
      </c>
      <c r="B994" s="98">
        <v>2013</v>
      </c>
      <c r="C994" s="98">
        <v>475.64136000000002</v>
      </c>
    </row>
    <row r="995" spans="1:3" x14ac:dyDescent="0.3">
      <c r="A995" s="98" t="s">
        <v>106</v>
      </c>
      <c r="B995" s="98">
        <v>2014</v>
      </c>
      <c r="C995" s="98">
        <v>540.28251</v>
      </c>
    </row>
    <row r="996" spans="1:3" x14ac:dyDescent="0.3">
      <c r="A996" s="98" t="s">
        <v>106</v>
      </c>
      <c r="B996" s="98">
        <v>2015</v>
      </c>
      <c r="C996" s="98">
        <v>602.51400999999998</v>
      </c>
    </row>
    <row r="997" spans="1:3" x14ac:dyDescent="0.3">
      <c r="A997" s="98" t="s">
        <v>106</v>
      </c>
      <c r="B997" s="98">
        <v>2016</v>
      </c>
      <c r="C997" s="98">
        <v>622.29105000000004</v>
      </c>
    </row>
    <row r="998" spans="1:3" x14ac:dyDescent="0.3">
      <c r="A998" s="98" t="s">
        <v>106</v>
      </c>
      <c r="B998" s="98">
        <v>2017</v>
      </c>
      <c r="C998" s="98">
        <v>546.94988999999998</v>
      </c>
    </row>
    <row r="999" spans="1:3" x14ac:dyDescent="0.3">
      <c r="A999" s="98" t="s">
        <v>106</v>
      </c>
      <c r="B999" s="98">
        <v>2018</v>
      </c>
      <c r="C999" s="98">
        <v>572.88820999999996</v>
      </c>
    </row>
    <row r="1000" spans="1:3" x14ac:dyDescent="0.3">
      <c r="A1000" s="98" t="s">
        <v>106</v>
      </c>
      <c r="B1000" s="98">
        <v>2019</v>
      </c>
      <c r="C1000" s="98">
        <v>583.90332999999998</v>
      </c>
    </row>
    <row r="1001" spans="1:3" x14ac:dyDescent="0.3">
      <c r="A1001" s="98" t="s">
        <v>106</v>
      </c>
      <c r="B1001" s="98">
        <v>2020</v>
      </c>
      <c r="C1001" s="98">
        <v>534.55871999999999</v>
      </c>
    </row>
    <row r="1002" spans="1:3" x14ac:dyDescent="0.3">
      <c r="A1002" s="98" t="s">
        <v>106</v>
      </c>
      <c r="B1002" s="98">
        <v>2021</v>
      </c>
      <c r="C1002" s="98">
        <v>579.16034000000002</v>
      </c>
    </row>
    <row r="1003" spans="1:3" x14ac:dyDescent="0.3">
      <c r="A1003" s="98" t="s">
        <v>106</v>
      </c>
      <c r="B1003" s="98">
        <v>2022</v>
      </c>
      <c r="C1003" s="98">
        <v>614.99811999999997</v>
      </c>
    </row>
    <row r="1004" spans="1:3" x14ac:dyDescent="0.3">
      <c r="A1004" s="98" t="s">
        <v>107</v>
      </c>
      <c r="B1004" s="98">
        <v>2001</v>
      </c>
      <c r="C1004" s="98">
        <v>341.67</v>
      </c>
    </row>
    <row r="1005" spans="1:3" x14ac:dyDescent="0.3">
      <c r="A1005" s="98" t="s">
        <v>107</v>
      </c>
      <c r="B1005" s="98">
        <v>2002</v>
      </c>
      <c r="C1005" s="98">
        <v>378.72</v>
      </c>
    </row>
    <row r="1006" spans="1:3" x14ac:dyDescent="0.3">
      <c r="A1006" s="98" t="s">
        <v>107</v>
      </c>
      <c r="B1006" s="98">
        <v>2003</v>
      </c>
      <c r="C1006" s="98">
        <v>418.53</v>
      </c>
    </row>
    <row r="1007" spans="1:3" x14ac:dyDescent="0.3">
      <c r="A1007" s="98" t="s">
        <v>107</v>
      </c>
      <c r="B1007" s="98">
        <v>2004</v>
      </c>
      <c r="C1007" s="98">
        <v>458.61</v>
      </c>
    </row>
    <row r="1008" spans="1:3" x14ac:dyDescent="0.3">
      <c r="A1008" s="98" t="s">
        <v>107</v>
      </c>
      <c r="B1008" s="98">
        <v>2005</v>
      </c>
      <c r="C1008" s="98">
        <v>496.68</v>
      </c>
    </row>
    <row r="1009" spans="1:3" x14ac:dyDescent="0.3">
      <c r="A1009" s="98" t="s">
        <v>107</v>
      </c>
      <c r="B1009" s="98">
        <v>2006</v>
      </c>
      <c r="C1009" s="98">
        <v>517.89499999999998</v>
      </c>
    </row>
    <row r="1010" spans="1:3" x14ac:dyDescent="0.3">
      <c r="A1010" s="98" t="s">
        <v>107</v>
      </c>
      <c r="B1010" s="98">
        <v>2007</v>
      </c>
      <c r="C1010" s="98">
        <v>498.1</v>
      </c>
    </row>
    <row r="1011" spans="1:3" x14ac:dyDescent="0.3">
      <c r="A1011" s="98" t="s">
        <v>107</v>
      </c>
      <c r="B1011" s="98">
        <v>2008</v>
      </c>
      <c r="C1011" s="98">
        <v>555.47</v>
      </c>
    </row>
    <row r="1012" spans="1:3" x14ac:dyDescent="0.3">
      <c r="A1012" s="98" t="s">
        <v>107</v>
      </c>
      <c r="B1012" s="98">
        <v>2009</v>
      </c>
      <c r="C1012" s="98">
        <v>565.24</v>
      </c>
    </row>
    <row r="1013" spans="1:3" x14ac:dyDescent="0.3">
      <c r="A1013" s="98" t="s">
        <v>107</v>
      </c>
      <c r="B1013" s="98">
        <v>2010</v>
      </c>
      <c r="C1013" s="98">
        <v>512.97</v>
      </c>
    </row>
    <row r="1014" spans="1:3" x14ac:dyDescent="0.3">
      <c r="A1014" s="98" t="s">
        <v>107</v>
      </c>
      <c r="B1014" s="98">
        <v>2011</v>
      </c>
      <c r="C1014" s="98">
        <v>511.84</v>
      </c>
    </row>
    <row r="1015" spans="1:3" x14ac:dyDescent="0.3">
      <c r="A1015" s="98" t="s">
        <v>107</v>
      </c>
      <c r="B1015" s="98">
        <v>2012</v>
      </c>
      <c r="C1015" s="98">
        <v>508.19499999999999</v>
      </c>
    </row>
    <row r="1016" spans="1:3" x14ac:dyDescent="0.3">
      <c r="A1016" s="98" t="s">
        <v>107</v>
      </c>
      <c r="B1016" s="98">
        <v>2013</v>
      </c>
      <c r="C1016" s="98">
        <v>501.40499999999997</v>
      </c>
    </row>
    <row r="1017" spans="1:3" x14ac:dyDescent="0.3">
      <c r="A1017" s="98" t="s">
        <v>107</v>
      </c>
      <c r="B1017" s="98">
        <v>2014</v>
      </c>
      <c r="C1017" s="98">
        <v>539.41999999999996</v>
      </c>
    </row>
    <row r="1018" spans="1:3" x14ac:dyDescent="0.3">
      <c r="A1018" s="98" t="s">
        <v>107</v>
      </c>
      <c r="B1018" s="98">
        <v>2015</v>
      </c>
      <c r="C1018" s="98">
        <v>538.40499999999997</v>
      </c>
    </row>
    <row r="1019" spans="1:3" x14ac:dyDescent="0.3">
      <c r="A1019" s="98" t="s">
        <v>107</v>
      </c>
      <c r="B1019" s="98">
        <v>2016</v>
      </c>
      <c r="C1019" s="98">
        <v>554.64</v>
      </c>
    </row>
    <row r="1020" spans="1:3" x14ac:dyDescent="0.3">
      <c r="A1020" s="98" t="s">
        <v>107</v>
      </c>
      <c r="B1020" s="98">
        <v>2017</v>
      </c>
      <c r="C1020" s="98">
        <v>569.49</v>
      </c>
    </row>
    <row r="1021" spans="1:3" x14ac:dyDescent="0.3">
      <c r="A1021" s="98" t="s">
        <v>107</v>
      </c>
      <c r="B1021" s="98">
        <v>2018</v>
      </c>
      <c r="C1021" s="98">
        <v>608.07000000000005</v>
      </c>
    </row>
    <row r="1022" spans="1:3" x14ac:dyDescent="0.3">
      <c r="A1022" s="98" t="s">
        <v>107</v>
      </c>
      <c r="B1022" s="98">
        <v>2019</v>
      </c>
      <c r="C1022" s="98">
        <v>573.29</v>
      </c>
    </row>
    <row r="1023" spans="1:3" x14ac:dyDescent="0.3">
      <c r="A1023" s="98" t="s">
        <v>107</v>
      </c>
      <c r="B1023" s="98">
        <v>2020</v>
      </c>
      <c r="C1023" s="98">
        <v>613.91499999999996</v>
      </c>
    </row>
    <row r="1024" spans="1:3" x14ac:dyDescent="0.3">
      <c r="A1024" s="98" t="s">
        <v>107</v>
      </c>
      <c r="B1024" s="98">
        <v>2021</v>
      </c>
      <c r="C1024" s="98">
        <v>642.15499999999997</v>
      </c>
    </row>
    <row r="1025" spans="1:3" x14ac:dyDescent="0.3">
      <c r="A1025" s="98" t="s">
        <v>107</v>
      </c>
      <c r="B1025" s="98">
        <v>2022</v>
      </c>
      <c r="C1025" s="98">
        <v>598.08000000000004</v>
      </c>
    </row>
    <row r="1026" spans="1:3" x14ac:dyDescent="0.3">
      <c r="A1026" s="98" t="s">
        <v>108</v>
      </c>
      <c r="B1026" s="98">
        <v>2001</v>
      </c>
      <c r="C1026" s="98">
        <v>8.3560429999999997</v>
      </c>
    </row>
    <row r="1027" spans="1:3" x14ac:dyDescent="0.3">
      <c r="A1027" s="98" t="s">
        <v>108</v>
      </c>
      <c r="B1027" s="98">
        <v>2002</v>
      </c>
      <c r="C1027" s="98">
        <v>7.1457439999999997</v>
      </c>
    </row>
    <row r="1028" spans="1:3" x14ac:dyDescent="0.3">
      <c r="A1028" s="98" t="s">
        <v>108</v>
      </c>
      <c r="B1028" s="98">
        <v>2003</v>
      </c>
      <c r="C1028" s="98">
        <v>6.118506</v>
      </c>
    </row>
    <row r="1029" spans="1:3" x14ac:dyDescent="0.3">
      <c r="A1029" s="98" t="s">
        <v>108</v>
      </c>
      <c r="B1029" s="98">
        <v>2004</v>
      </c>
      <c r="C1029" s="98">
        <v>5.6368830000000001</v>
      </c>
    </row>
    <row r="1030" spans="1:3" x14ac:dyDescent="0.3">
      <c r="A1030" s="98" t="s">
        <v>108</v>
      </c>
      <c r="B1030" s="98">
        <v>2005</v>
      </c>
      <c r="C1030" s="98">
        <v>6.2336260000000001</v>
      </c>
    </row>
    <row r="1031" spans="1:3" x14ac:dyDescent="0.3">
      <c r="A1031" s="98" t="s">
        <v>108</v>
      </c>
      <c r="B1031" s="98">
        <v>2006</v>
      </c>
      <c r="C1031" s="98">
        <v>5.5784010000000004</v>
      </c>
    </row>
    <row r="1032" spans="1:3" x14ac:dyDescent="0.3">
      <c r="A1032" s="98" t="s">
        <v>108</v>
      </c>
      <c r="B1032" s="98">
        <v>2007</v>
      </c>
      <c r="C1032" s="98">
        <v>4.9854560000000001</v>
      </c>
    </row>
    <row r="1033" spans="1:3" x14ac:dyDescent="0.3">
      <c r="A1033" s="98" t="s">
        <v>108</v>
      </c>
      <c r="B1033" s="98">
        <v>2008</v>
      </c>
      <c r="C1033" s="98">
        <v>5.1555039999999996</v>
      </c>
    </row>
    <row r="1034" spans="1:3" x14ac:dyDescent="0.3">
      <c r="A1034" s="98" t="s">
        <v>108</v>
      </c>
      <c r="B1034" s="98">
        <v>2009</v>
      </c>
      <c r="C1034" s="98">
        <v>5.0892999999999997</v>
      </c>
    </row>
    <row r="1035" spans="1:3" x14ac:dyDescent="0.3">
      <c r="A1035" s="98" t="s">
        <v>108</v>
      </c>
      <c r="B1035" s="98">
        <v>2010</v>
      </c>
      <c r="C1035" s="98">
        <v>5.5682520000000002</v>
      </c>
    </row>
    <row r="1036" spans="1:3" x14ac:dyDescent="0.3">
      <c r="A1036" s="98" t="s">
        <v>108</v>
      </c>
      <c r="B1036" s="98">
        <v>2011</v>
      </c>
      <c r="C1036" s="98">
        <v>5.8198999999999996</v>
      </c>
    </row>
    <row r="1037" spans="1:3" x14ac:dyDescent="0.3">
      <c r="A1037" s="98" t="s">
        <v>108</v>
      </c>
      <c r="B1037" s="98">
        <v>2012</v>
      </c>
      <c r="C1037" s="98">
        <v>5.7267939999999999</v>
      </c>
    </row>
    <row r="1038" spans="1:3" x14ac:dyDescent="0.3">
      <c r="A1038" s="98" t="s">
        <v>108</v>
      </c>
      <c r="B1038" s="98">
        <v>2013</v>
      </c>
      <c r="C1038" s="98">
        <v>5.5490000000000004</v>
      </c>
    </row>
    <row r="1039" spans="1:3" x14ac:dyDescent="0.3">
      <c r="A1039" s="98" t="s">
        <v>108</v>
      </c>
      <c r="B1039" s="98">
        <v>2014</v>
      </c>
      <c r="C1039" s="98">
        <v>6.3021070000000003</v>
      </c>
    </row>
    <row r="1040" spans="1:3" x14ac:dyDescent="0.3">
      <c r="A1040" s="98" t="s">
        <v>108</v>
      </c>
      <c r="B1040" s="98">
        <v>2015</v>
      </c>
      <c r="C1040" s="98">
        <v>6.9918009999999997</v>
      </c>
    </row>
    <row r="1041" spans="1:3" x14ac:dyDescent="0.3">
      <c r="A1041" s="98" t="s">
        <v>108</v>
      </c>
      <c r="B1041" s="98">
        <v>2016</v>
      </c>
      <c r="C1041" s="98">
        <v>7.1685359999999996</v>
      </c>
    </row>
    <row r="1042" spans="1:3" x14ac:dyDescent="0.3">
      <c r="A1042" s="98" t="s">
        <v>108</v>
      </c>
      <c r="B1042" s="98">
        <v>2017</v>
      </c>
      <c r="C1042" s="98">
        <v>6.2697329999999996</v>
      </c>
    </row>
    <row r="1043" spans="1:3" x14ac:dyDescent="0.3">
      <c r="A1043" s="98" t="s">
        <v>108</v>
      </c>
      <c r="B1043" s="98">
        <v>2018</v>
      </c>
      <c r="C1043" s="98">
        <v>6.4691919999999996</v>
      </c>
    </row>
    <row r="1044" spans="1:3" x14ac:dyDescent="0.3">
      <c r="A1044" s="98" t="s">
        <v>108</v>
      </c>
      <c r="B1044" s="98">
        <v>2019</v>
      </c>
      <c r="C1044" s="98">
        <v>6.6499110000000003</v>
      </c>
    </row>
    <row r="1045" spans="1:3" x14ac:dyDescent="0.3">
      <c r="A1045" s="98" t="s">
        <v>108</v>
      </c>
      <c r="B1045" s="98">
        <v>2020</v>
      </c>
      <c r="C1045" s="98">
        <v>6.1390390000000004</v>
      </c>
    </row>
    <row r="1046" spans="1:3" x14ac:dyDescent="0.3">
      <c r="A1046" s="98" t="s">
        <v>108</v>
      </c>
      <c r="B1046" s="98">
        <v>2021</v>
      </c>
      <c r="C1046" s="98">
        <v>6.643548</v>
      </c>
    </row>
    <row r="1047" spans="1:3" x14ac:dyDescent="0.3">
      <c r="A1047" s="98" t="s">
        <v>108</v>
      </c>
      <c r="B1047" s="98">
        <v>2022</v>
      </c>
      <c r="C1047" s="98">
        <v>7.0640349999999996</v>
      </c>
    </row>
    <row r="1048" spans="1:3" x14ac:dyDescent="0.3">
      <c r="A1048" s="98" t="s">
        <v>109</v>
      </c>
      <c r="B1048" s="98">
        <v>2001</v>
      </c>
    </row>
    <row r="1049" spans="1:3" x14ac:dyDescent="0.3">
      <c r="A1049" s="98" t="s">
        <v>109</v>
      </c>
      <c r="B1049" s="98">
        <v>2002</v>
      </c>
    </row>
    <row r="1050" spans="1:3" x14ac:dyDescent="0.3">
      <c r="A1050" s="98" t="s">
        <v>109</v>
      </c>
      <c r="B1050" s="98">
        <v>2003</v>
      </c>
    </row>
    <row r="1051" spans="1:3" x14ac:dyDescent="0.3">
      <c r="A1051" s="98" t="s">
        <v>109</v>
      </c>
      <c r="B1051" s="98">
        <v>2004</v>
      </c>
    </row>
    <row r="1052" spans="1:3" x14ac:dyDescent="0.3">
      <c r="A1052" s="98" t="s">
        <v>109</v>
      </c>
      <c r="B1052" s="98">
        <v>2005</v>
      </c>
    </row>
    <row r="1053" spans="1:3" x14ac:dyDescent="0.3">
      <c r="A1053" s="98" t="s">
        <v>109</v>
      </c>
      <c r="B1053" s="98">
        <v>2006</v>
      </c>
    </row>
    <row r="1054" spans="1:3" x14ac:dyDescent="0.3">
      <c r="A1054" s="98" t="s">
        <v>109</v>
      </c>
      <c r="B1054" s="98">
        <v>2007</v>
      </c>
    </row>
    <row r="1055" spans="1:3" x14ac:dyDescent="0.3">
      <c r="A1055" s="98" t="s">
        <v>109</v>
      </c>
      <c r="B1055" s="98">
        <v>2008</v>
      </c>
    </row>
    <row r="1056" spans="1:3" x14ac:dyDescent="0.3">
      <c r="A1056" s="98" t="s">
        <v>109</v>
      </c>
      <c r="B1056" s="98">
        <v>2009</v>
      </c>
    </row>
    <row r="1057" spans="1:3" x14ac:dyDescent="0.3">
      <c r="A1057" s="98" t="s">
        <v>109</v>
      </c>
      <c r="B1057" s="98">
        <v>2010</v>
      </c>
      <c r="C1057" s="98">
        <v>1.79</v>
      </c>
    </row>
    <row r="1058" spans="1:3" x14ac:dyDescent="0.3">
      <c r="A1058" s="98" t="s">
        <v>109</v>
      </c>
      <c r="B1058" s="98">
        <v>2011</v>
      </c>
      <c r="C1058" s="98">
        <v>1.79</v>
      </c>
    </row>
    <row r="1059" spans="1:3" x14ac:dyDescent="0.3">
      <c r="A1059" s="98" t="s">
        <v>109</v>
      </c>
      <c r="B1059" s="98">
        <v>2012</v>
      </c>
      <c r="C1059" s="98">
        <v>1.79</v>
      </c>
    </row>
    <row r="1060" spans="1:3" x14ac:dyDescent="0.3">
      <c r="A1060" s="98" t="s">
        <v>109</v>
      </c>
      <c r="B1060" s="98">
        <v>2013</v>
      </c>
      <c r="C1060" s="98">
        <v>1.79</v>
      </c>
    </row>
    <row r="1061" spans="1:3" x14ac:dyDescent="0.3">
      <c r="A1061" s="98" t="s">
        <v>109</v>
      </c>
      <c r="B1061" s="98">
        <v>2014</v>
      </c>
      <c r="C1061" s="98">
        <v>1.79</v>
      </c>
    </row>
    <row r="1062" spans="1:3" x14ac:dyDescent="0.3">
      <c r="A1062" s="98" t="s">
        <v>109</v>
      </c>
      <c r="B1062" s="98">
        <v>2015</v>
      </c>
      <c r="C1062" s="98">
        <v>1.79</v>
      </c>
    </row>
    <row r="1063" spans="1:3" x14ac:dyDescent="0.3">
      <c r="A1063" s="98" t="s">
        <v>109</v>
      </c>
      <c r="B1063" s="98">
        <v>2016</v>
      </c>
      <c r="C1063" s="98">
        <v>1.79</v>
      </c>
    </row>
    <row r="1064" spans="1:3" x14ac:dyDescent="0.3">
      <c r="A1064" s="98" t="s">
        <v>109</v>
      </c>
      <c r="B1064" s="98">
        <v>2017</v>
      </c>
      <c r="C1064" s="98">
        <v>1.79</v>
      </c>
    </row>
    <row r="1065" spans="1:3" x14ac:dyDescent="0.3">
      <c r="A1065" s="98" t="s">
        <v>109</v>
      </c>
      <c r="B1065" s="98">
        <v>2018</v>
      </c>
      <c r="C1065" s="98">
        <v>1.79</v>
      </c>
    </row>
    <row r="1066" spans="1:3" x14ac:dyDescent="0.3">
      <c r="A1066" s="98" t="s">
        <v>109</v>
      </c>
      <c r="B1066" s="98">
        <v>2019</v>
      </c>
      <c r="C1066" s="98">
        <v>1.79</v>
      </c>
    </row>
    <row r="1067" spans="1:3" x14ac:dyDescent="0.3">
      <c r="A1067" s="98" t="s">
        <v>109</v>
      </c>
      <c r="B1067" s="98">
        <v>2020</v>
      </c>
      <c r="C1067" s="98">
        <v>1.79</v>
      </c>
    </row>
    <row r="1068" spans="1:3" x14ac:dyDescent="0.3">
      <c r="A1068" s="98" t="s">
        <v>109</v>
      </c>
      <c r="B1068" s="98">
        <v>2021</v>
      </c>
      <c r="C1068" s="98">
        <v>1.79</v>
      </c>
    </row>
    <row r="1069" spans="1:3" x14ac:dyDescent="0.3">
      <c r="A1069" s="98" t="s">
        <v>109</v>
      </c>
      <c r="B1069" s="98">
        <v>2022</v>
      </c>
      <c r="C1069" s="98">
        <v>1.79</v>
      </c>
    </row>
    <row r="1070" spans="1:3" x14ac:dyDescent="0.3">
      <c r="A1070" s="98" t="s">
        <v>110</v>
      </c>
      <c r="B1070" s="98">
        <v>2001</v>
      </c>
    </row>
    <row r="1071" spans="1:3" x14ac:dyDescent="0.3">
      <c r="A1071" s="98" t="s">
        <v>110</v>
      </c>
      <c r="B1071" s="98">
        <v>2002</v>
      </c>
    </row>
    <row r="1072" spans="1:3" x14ac:dyDescent="0.3">
      <c r="A1072" s="98" t="s">
        <v>110</v>
      </c>
      <c r="B1072" s="98">
        <v>2003</v>
      </c>
    </row>
    <row r="1073" spans="1:3" x14ac:dyDescent="0.3">
      <c r="A1073" s="98" t="s">
        <v>110</v>
      </c>
      <c r="B1073" s="98">
        <v>2004</v>
      </c>
    </row>
    <row r="1074" spans="1:3" x14ac:dyDescent="0.3">
      <c r="A1074" s="98" t="s">
        <v>110</v>
      </c>
      <c r="B1074" s="98">
        <v>2005</v>
      </c>
    </row>
    <row r="1075" spans="1:3" x14ac:dyDescent="0.3">
      <c r="A1075" s="98" t="s">
        <v>110</v>
      </c>
      <c r="B1075" s="98">
        <v>2006</v>
      </c>
    </row>
    <row r="1076" spans="1:3" x14ac:dyDescent="0.3">
      <c r="A1076" s="98" t="s">
        <v>110</v>
      </c>
      <c r="B1076" s="98">
        <v>2007</v>
      </c>
    </row>
    <row r="1077" spans="1:3" x14ac:dyDescent="0.3">
      <c r="A1077" s="98" t="s">
        <v>110</v>
      </c>
      <c r="B1077" s="98">
        <v>2008</v>
      </c>
    </row>
    <row r="1078" spans="1:3" x14ac:dyDescent="0.3">
      <c r="A1078" s="98" t="s">
        <v>110</v>
      </c>
      <c r="B1078" s="98">
        <v>2009</v>
      </c>
    </row>
    <row r="1079" spans="1:3" x14ac:dyDescent="0.3">
      <c r="A1079" s="98" t="s">
        <v>110</v>
      </c>
      <c r="B1079" s="98">
        <v>2010</v>
      </c>
      <c r="C1079" s="98">
        <v>1.79</v>
      </c>
    </row>
    <row r="1080" spans="1:3" x14ac:dyDescent="0.3">
      <c r="A1080" s="98" t="s">
        <v>110</v>
      </c>
      <c r="B1080" s="98">
        <v>2011</v>
      </c>
      <c r="C1080" s="98">
        <v>1.79</v>
      </c>
    </row>
    <row r="1081" spans="1:3" x14ac:dyDescent="0.3">
      <c r="A1081" s="98" t="s">
        <v>110</v>
      </c>
      <c r="B1081" s="98">
        <v>2012</v>
      </c>
      <c r="C1081" s="98">
        <v>1.79</v>
      </c>
    </row>
    <row r="1082" spans="1:3" x14ac:dyDescent="0.3">
      <c r="A1082" s="98" t="s">
        <v>110</v>
      </c>
      <c r="B1082" s="98">
        <v>2013</v>
      </c>
      <c r="C1082" s="98">
        <v>1.79</v>
      </c>
    </row>
    <row r="1083" spans="1:3" x14ac:dyDescent="0.3">
      <c r="A1083" s="98" t="s">
        <v>110</v>
      </c>
      <c r="B1083" s="98">
        <v>2014</v>
      </c>
      <c r="C1083" s="98">
        <v>1.79</v>
      </c>
    </row>
    <row r="1084" spans="1:3" x14ac:dyDescent="0.3">
      <c r="A1084" s="98" t="s">
        <v>110</v>
      </c>
      <c r="B1084" s="98">
        <v>2015</v>
      </c>
      <c r="C1084" s="98">
        <v>1.79</v>
      </c>
    </row>
    <row r="1085" spans="1:3" x14ac:dyDescent="0.3">
      <c r="A1085" s="98" t="s">
        <v>110</v>
      </c>
      <c r="B1085" s="98">
        <v>2016</v>
      </c>
      <c r="C1085" s="98">
        <v>1.79</v>
      </c>
    </row>
    <row r="1086" spans="1:3" x14ac:dyDescent="0.3">
      <c r="A1086" s="98" t="s">
        <v>110</v>
      </c>
      <c r="B1086" s="98">
        <v>2017</v>
      </c>
      <c r="C1086" s="98">
        <v>1.79</v>
      </c>
    </row>
    <row r="1087" spans="1:3" x14ac:dyDescent="0.3">
      <c r="A1087" s="98" t="s">
        <v>110</v>
      </c>
      <c r="B1087" s="98">
        <v>2018</v>
      </c>
      <c r="C1087" s="98">
        <v>1.79</v>
      </c>
    </row>
    <row r="1088" spans="1:3" x14ac:dyDescent="0.3">
      <c r="A1088" s="98" t="s">
        <v>110</v>
      </c>
      <c r="B1088" s="98">
        <v>2019</v>
      </c>
      <c r="C1088" s="98">
        <v>1.79</v>
      </c>
    </row>
    <row r="1089" spans="1:3" x14ac:dyDescent="0.3">
      <c r="A1089" s="98" t="s">
        <v>110</v>
      </c>
      <c r="B1089" s="98">
        <v>2020</v>
      </c>
      <c r="C1089" s="98">
        <v>1.79</v>
      </c>
    </row>
    <row r="1090" spans="1:3" x14ac:dyDescent="0.3">
      <c r="A1090" s="98" t="s">
        <v>110</v>
      </c>
      <c r="B1090" s="98">
        <v>2021</v>
      </c>
      <c r="C1090" s="98">
        <v>1.79</v>
      </c>
    </row>
    <row r="1091" spans="1:3" x14ac:dyDescent="0.3">
      <c r="A1091" s="98" t="s">
        <v>110</v>
      </c>
      <c r="B1091" s="98">
        <v>2022</v>
      </c>
      <c r="C1091" s="98">
        <v>1.79</v>
      </c>
    </row>
    <row r="1092" spans="1:3" x14ac:dyDescent="0.3">
      <c r="A1092" s="98" t="s">
        <v>111</v>
      </c>
      <c r="B1092" s="98">
        <v>2001</v>
      </c>
      <c r="C1092" s="98">
        <v>0.65019506000000005</v>
      </c>
    </row>
    <row r="1093" spans="1:3" x14ac:dyDescent="0.3">
      <c r="A1093" s="98" t="s">
        <v>111</v>
      </c>
      <c r="B1093" s="98">
        <v>2002</v>
      </c>
      <c r="C1093" s="98">
        <v>0.54683654999999998</v>
      </c>
    </row>
    <row r="1094" spans="1:3" x14ac:dyDescent="0.3">
      <c r="A1094" s="98" t="s">
        <v>111</v>
      </c>
      <c r="B1094" s="98">
        <v>2003</v>
      </c>
      <c r="C1094" s="98">
        <v>0.46524611999999999</v>
      </c>
    </row>
    <row r="1095" spans="1:3" x14ac:dyDescent="0.3">
      <c r="A1095" s="98" t="s">
        <v>111</v>
      </c>
      <c r="B1095" s="98">
        <v>2004</v>
      </c>
      <c r="C1095" s="98">
        <v>0.42500744000000001</v>
      </c>
    </row>
    <row r="1096" spans="1:3" x14ac:dyDescent="0.3">
      <c r="A1096" s="98" t="s">
        <v>111</v>
      </c>
      <c r="B1096" s="98">
        <v>2005</v>
      </c>
      <c r="C1096" s="98">
        <v>0.48440224999999998</v>
      </c>
    </row>
    <row r="1097" spans="1:3" x14ac:dyDescent="0.3">
      <c r="A1097" s="98" t="s">
        <v>111</v>
      </c>
      <c r="B1097" s="98">
        <v>2006</v>
      </c>
      <c r="C1097" s="98">
        <v>0.43909722000000001</v>
      </c>
    </row>
    <row r="1098" spans="1:3" x14ac:dyDescent="0.3">
      <c r="A1098" s="98" t="s">
        <v>111</v>
      </c>
      <c r="B1098" s="98">
        <v>2007</v>
      </c>
      <c r="C1098" s="98">
        <v>0.39778829999999998</v>
      </c>
    </row>
    <row r="1099" spans="1:3" x14ac:dyDescent="0.3">
      <c r="A1099" s="98" t="s">
        <v>111</v>
      </c>
      <c r="B1099" s="98">
        <v>2008</v>
      </c>
    </row>
    <row r="1100" spans="1:3" x14ac:dyDescent="0.3">
      <c r="A1100" s="98" t="s">
        <v>111</v>
      </c>
      <c r="B1100" s="98">
        <v>2009</v>
      </c>
    </row>
    <row r="1101" spans="1:3" x14ac:dyDescent="0.3">
      <c r="A1101" s="98" t="s">
        <v>111</v>
      </c>
      <c r="B1101" s="98">
        <v>2010</v>
      </c>
    </row>
    <row r="1102" spans="1:3" x14ac:dyDescent="0.3">
      <c r="A1102" s="98" t="s">
        <v>111</v>
      </c>
      <c r="B1102" s="98">
        <v>2011</v>
      </c>
    </row>
    <row r="1103" spans="1:3" x14ac:dyDescent="0.3">
      <c r="A1103" s="98" t="s">
        <v>111</v>
      </c>
      <c r="B1103" s="98">
        <v>2012</v>
      </c>
    </row>
    <row r="1104" spans="1:3" x14ac:dyDescent="0.3">
      <c r="A1104" s="98" t="s">
        <v>111</v>
      </c>
      <c r="B1104" s="98">
        <v>2013</v>
      </c>
    </row>
    <row r="1105" spans="1:3" x14ac:dyDescent="0.3">
      <c r="A1105" s="98" t="s">
        <v>111</v>
      </c>
      <c r="B1105" s="98">
        <v>2014</v>
      </c>
    </row>
    <row r="1106" spans="1:3" x14ac:dyDescent="0.3">
      <c r="A1106" s="98" t="s">
        <v>111</v>
      </c>
      <c r="B1106" s="98">
        <v>2015</v>
      </c>
    </row>
    <row r="1107" spans="1:3" x14ac:dyDescent="0.3">
      <c r="A1107" s="98" t="s">
        <v>111</v>
      </c>
      <c r="B1107" s="98">
        <v>2016</v>
      </c>
    </row>
    <row r="1108" spans="1:3" x14ac:dyDescent="0.3">
      <c r="A1108" s="98" t="s">
        <v>111</v>
      </c>
      <c r="B1108" s="98">
        <v>2017</v>
      </c>
    </row>
    <row r="1109" spans="1:3" x14ac:dyDescent="0.3">
      <c r="A1109" s="98" t="s">
        <v>111</v>
      </c>
      <c r="B1109" s="98">
        <v>2018</v>
      </c>
    </row>
    <row r="1110" spans="1:3" x14ac:dyDescent="0.3">
      <c r="A1110" s="98" t="s">
        <v>111</v>
      </c>
      <c r="B1110" s="98">
        <v>2019</v>
      </c>
    </row>
    <row r="1111" spans="1:3" x14ac:dyDescent="0.3">
      <c r="A1111" s="98" t="s">
        <v>111</v>
      </c>
      <c r="B1111" s="98">
        <v>2020</v>
      </c>
    </row>
    <row r="1112" spans="1:3" x14ac:dyDescent="0.3">
      <c r="A1112" s="98" t="s">
        <v>111</v>
      </c>
      <c r="B1112" s="98">
        <v>2021</v>
      </c>
    </row>
    <row r="1113" spans="1:3" x14ac:dyDescent="0.3">
      <c r="A1113" s="98" t="s">
        <v>111</v>
      </c>
      <c r="B1113" s="98">
        <v>2022</v>
      </c>
    </row>
    <row r="1114" spans="1:3" x14ac:dyDescent="0.3">
      <c r="A1114" s="98" t="s">
        <v>112</v>
      </c>
      <c r="B1114" s="98">
        <v>2001</v>
      </c>
      <c r="C1114" s="98">
        <v>36.259</v>
      </c>
    </row>
    <row r="1115" spans="1:3" x14ac:dyDescent="0.3">
      <c r="A1115" s="98" t="s">
        <v>112</v>
      </c>
      <c r="B1115" s="98">
        <v>2002</v>
      </c>
      <c r="C1115" s="98">
        <v>30.140999999999998</v>
      </c>
    </row>
    <row r="1116" spans="1:3" x14ac:dyDescent="0.3">
      <c r="A1116" s="98" t="s">
        <v>112</v>
      </c>
      <c r="B1116" s="98">
        <v>2003</v>
      </c>
      <c r="C1116" s="98">
        <v>25.654</v>
      </c>
    </row>
    <row r="1117" spans="1:3" x14ac:dyDescent="0.3">
      <c r="A1117" s="98" t="s">
        <v>112</v>
      </c>
      <c r="B1117" s="98">
        <v>2004</v>
      </c>
      <c r="C1117" s="98">
        <v>22.364999999999998</v>
      </c>
    </row>
    <row r="1118" spans="1:3" x14ac:dyDescent="0.3">
      <c r="A1118" s="98" t="s">
        <v>112</v>
      </c>
      <c r="B1118" s="98">
        <v>2005</v>
      </c>
      <c r="C1118" s="98">
        <v>24.588000000000001</v>
      </c>
    </row>
    <row r="1119" spans="1:3" x14ac:dyDescent="0.3">
      <c r="A1119" s="98" t="s">
        <v>112</v>
      </c>
      <c r="B1119" s="98">
        <v>2006</v>
      </c>
      <c r="C1119" s="98">
        <v>20.876000000000001</v>
      </c>
    </row>
    <row r="1120" spans="1:3" x14ac:dyDescent="0.3">
      <c r="A1120" s="98" t="s">
        <v>112</v>
      </c>
      <c r="B1120" s="98">
        <v>2007</v>
      </c>
      <c r="C1120" s="98">
        <v>18.077999999999999</v>
      </c>
    </row>
    <row r="1121" spans="1:3" x14ac:dyDescent="0.3">
      <c r="A1121" s="98" t="s">
        <v>112</v>
      </c>
      <c r="B1121" s="98">
        <v>2008</v>
      </c>
      <c r="C1121" s="98">
        <v>19.346</v>
      </c>
    </row>
    <row r="1122" spans="1:3" x14ac:dyDescent="0.3">
      <c r="A1122" s="98" t="s">
        <v>112</v>
      </c>
      <c r="B1122" s="98">
        <v>2009</v>
      </c>
      <c r="C1122" s="98">
        <v>18.367999999999999</v>
      </c>
    </row>
    <row r="1123" spans="1:3" x14ac:dyDescent="0.3">
      <c r="A1123" s="98" t="s">
        <v>112</v>
      </c>
      <c r="B1123" s="98">
        <v>2010</v>
      </c>
      <c r="C1123" s="98">
        <v>18.751000000000001</v>
      </c>
    </row>
    <row r="1124" spans="1:3" x14ac:dyDescent="0.3">
      <c r="A1124" s="98" t="s">
        <v>112</v>
      </c>
      <c r="B1124" s="98">
        <v>2011</v>
      </c>
      <c r="C1124" s="98">
        <v>19.940000000000001</v>
      </c>
    </row>
    <row r="1125" spans="1:3" x14ac:dyDescent="0.3">
      <c r="A1125" s="98" t="s">
        <v>112</v>
      </c>
      <c r="B1125" s="98">
        <v>2012</v>
      </c>
      <c r="C1125" s="98">
        <v>19.055</v>
      </c>
    </row>
    <row r="1126" spans="1:3" x14ac:dyDescent="0.3">
      <c r="A1126" s="98" t="s">
        <v>112</v>
      </c>
      <c r="B1126" s="98">
        <v>2013</v>
      </c>
      <c r="C1126" s="98">
        <v>19.893999999999998</v>
      </c>
    </row>
    <row r="1127" spans="1:3" x14ac:dyDescent="0.3">
      <c r="A1127" s="98" t="s">
        <v>112</v>
      </c>
      <c r="B1127" s="98">
        <v>2014</v>
      </c>
      <c r="C1127" s="98">
        <v>22.834</v>
      </c>
    </row>
    <row r="1128" spans="1:3" x14ac:dyDescent="0.3">
      <c r="A1128" s="98" t="s">
        <v>112</v>
      </c>
      <c r="B1128" s="98">
        <v>2015</v>
      </c>
      <c r="C1128" s="98">
        <v>24.824000000000002</v>
      </c>
    </row>
    <row r="1129" spans="1:3" x14ac:dyDescent="0.3">
      <c r="A1129" s="98" t="s">
        <v>112</v>
      </c>
      <c r="B1129" s="98">
        <v>2016</v>
      </c>
      <c r="C1129" s="98">
        <v>25.638999999999999</v>
      </c>
    </row>
    <row r="1130" spans="1:3" x14ac:dyDescent="0.3">
      <c r="A1130" s="98" t="s">
        <v>112</v>
      </c>
      <c r="B1130" s="98">
        <v>2017</v>
      </c>
      <c r="C1130" s="98">
        <v>21.291</v>
      </c>
    </row>
    <row r="1131" spans="1:3" x14ac:dyDescent="0.3">
      <c r="A1131" s="98" t="s">
        <v>112</v>
      </c>
      <c r="B1131" s="98">
        <v>2018</v>
      </c>
      <c r="C1131" s="98">
        <v>22.466000000000001</v>
      </c>
    </row>
    <row r="1132" spans="1:3" x14ac:dyDescent="0.3">
      <c r="A1132" s="98" t="s">
        <v>112</v>
      </c>
      <c r="B1132" s="98">
        <v>2019</v>
      </c>
      <c r="C1132" s="98">
        <v>22.620999999999999</v>
      </c>
    </row>
    <row r="1133" spans="1:3" x14ac:dyDescent="0.3">
      <c r="A1133" s="98" t="s">
        <v>112</v>
      </c>
      <c r="B1133" s="98">
        <v>2020</v>
      </c>
      <c r="C1133" s="98">
        <v>21.387</v>
      </c>
    </row>
    <row r="1134" spans="1:3" x14ac:dyDescent="0.3">
      <c r="A1134" s="98" t="s">
        <v>112</v>
      </c>
      <c r="B1134" s="98">
        <v>2021</v>
      </c>
      <c r="C1134" s="98">
        <v>21.951000000000001</v>
      </c>
    </row>
    <row r="1135" spans="1:3" x14ac:dyDescent="0.3">
      <c r="A1135" s="98" t="s">
        <v>112</v>
      </c>
      <c r="B1135" s="98">
        <v>2022</v>
      </c>
      <c r="C1135" s="98">
        <v>22.616</v>
      </c>
    </row>
    <row r="1136" spans="1:3" x14ac:dyDescent="0.3">
      <c r="A1136" s="98" t="s">
        <v>113</v>
      </c>
      <c r="B1136" s="98">
        <v>2001</v>
      </c>
      <c r="C1136" s="98">
        <v>744.30614000000003</v>
      </c>
    </row>
    <row r="1137" spans="1:3" x14ac:dyDescent="0.3">
      <c r="A1137" s="98" t="s">
        <v>113</v>
      </c>
      <c r="B1137" s="98">
        <v>2002</v>
      </c>
      <c r="C1137" s="98">
        <v>625.49537999999995</v>
      </c>
    </row>
    <row r="1138" spans="1:3" x14ac:dyDescent="0.3">
      <c r="A1138" s="98" t="s">
        <v>113</v>
      </c>
      <c r="B1138" s="98">
        <v>2003</v>
      </c>
      <c r="C1138" s="98">
        <v>519.36420999999996</v>
      </c>
    </row>
    <row r="1139" spans="1:3" x14ac:dyDescent="0.3">
      <c r="A1139" s="98" t="s">
        <v>113</v>
      </c>
      <c r="B1139" s="98">
        <v>2004</v>
      </c>
      <c r="C1139" s="98">
        <v>481.57771000000002</v>
      </c>
    </row>
    <row r="1140" spans="1:3" x14ac:dyDescent="0.3">
      <c r="A1140" s="98" t="s">
        <v>113</v>
      </c>
      <c r="B1140" s="98">
        <v>2005</v>
      </c>
      <c r="C1140" s="98">
        <v>556.03713000000005</v>
      </c>
    </row>
    <row r="1141" spans="1:3" x14ac:dyDescent="0.3">
      <c r="A1141" s="98" t="s">
        <v>113</v>
      </c>
      <c r="B1141" s="98">
        <v>2006</v>
      </c>
      <c r="C1141" s="98">
        <v>498.06909999999999</v>
      </c>
    </row>
    <row r="1142" spans="1:3" x14ac:dyDescent="0.3">
      <c r="A1142" s="98" t="s">
        <v>113</v>
      </c>
      <c r="B1142" s="98">
        <v>2007</v>
      </c>
      <c r="C1142" s="98">
        <v>445.59269</v>
      </c>
    </row>
    <row r="1143" spans="1:3" x14ac:dyDescent="0.3">
      <c r="A1143" s="98" t="s">
        <v>113</v>
      </c>
      <c r="B1143" s="98">
        <v>2008</v>
      </c>
      <c r="C1143" s="98">
        <v>471.33506</v>
      </c>
    </row>
    <row r="1144" spans="1:3" x14ac:dyDescent="0.3">
      <c r="A1144" s="98" t="s">
        <v>113</v>
      </c>
      <c r="B1144" s="98">
        <v>2009</v>
      </c>
      <c r="C1144" s="98">
        <v>455.33596999999997</v>
      </c>
    </row>
    <row r="1145" spans="1:3" x14ac:dyDescent="0.3">
      <c r="A1145" s="98" t="s">
        <v>113</v>
      </c>
      <c r="B1145" s="98">
        <v>2010</v>
      </c>
      <c r="C1145" s="98">
        <v>490.91228999999998</v>
      </c>
    </row>
    <row r="1146" spans="1:3" x14ac:dyDescent="0.3">
      <c r="A1146" s="98" t="s">
        <v>113</v>
      </c>
      <c r="B1146" s="98">
        <v>2011</v>
      </c>
      <c r="C1146" s="98">
        <v>506.96113000000003</v>
      </c>
    </row>
    <row r="1147" spans="1:3" x14ac:dyDescent="0.3">
      <c r="A1147" s="98" t="s">
        <v>113</v>
      </c>
      <c r="B1147" s="98">
        <v>2012</v>
      </c>
      <c r="C1147" s="98">
        <v>497.16309999999999</v>
      </c>
    </row>
    <row r="1148" spans="1:3" x14ac:dyDescent="0.3">
      <c r="A1148" s="98" t="s">
        <v>113</v>
      </c>
      <c r="B1148" s="98">
        <v>2013</v>
      </c>
      <c r="C1148" s="98">
        <v>475.64136000000002</v>
      </c>
    </row>
    <row r="1149" spans="1:3" x14ac:dyDescent="0.3">
      <c r="A1149" s="98" t="s">
        <v>113</v>
      </c>
      <c r="B1149" s="98">
        <v>2014</v>
      </c>
      <c r="C1149" s="98">
        <v>540.28251</v>
      </c>
    </row>
    <row r="1150" spans="1:3" x14ac:dyDescent="0.3">
      <c r="A1150" s="98" t="s">
        <v>113</v>
      </c>
      <c r="B1150" s="98">
        <v>2015</v>
      </c>
      <c r="C1150" s="98">
        <v>602.51400999999998</v>
      </c>
    </row>
    <row r="1151" spans="1:3" x14ac:dyDescent="0.3">
      <c r="A1151" s="98" t="s">
        <v>113</v>
      </c>
      <c r="B1151" s="98">
        <v>2016</v>
      </c>
      <c r="C1151" s="98">
        <v>622.29105000000004</v>
      </c>
    </row>
    <row r="1152" spans="1:3" x14ac:dyDescent="0.3">
      <c r="A1152" s="98" t="s">
        <v>113</v>
      </c>
      <c r="B1152" s="98">
        <v>2017</v>
      </c>
      <c r="C1152" s="98">
        <v>546.94988999999998</v>
      </c>
    </row>
    <row r="1153" spans="1:3" x14ac:dyDescent="0.3">
      <c r="A1153" s="98" t="s">
        <v>113</v>
      </c>
      <c r="B1153" s="98">
        <v>2018</v>
      </c>
      <c r="C1153" s="98">
        <v>572.88820999999996</v>
      </c>
    </row>
    <row r="1154" spans="1:3" x14ac:dyDescent="0.3">
      <c r="A1154" s="98" t="s">
        <v>113</v>
      </c>
      <c r="B1154" s="98">
        <v>2019</v>
      </c>
      <c r="C1154" s="98">
        <v>583.90332999999998</v>
      </c>
    </row>
    <row r="1155" spans="1:3" x14ac:dyDescent="0.3">
      <c r="A1155" s="98" t="s">
        <v>113</v>
      </c>
      <c r="B1155" s="98">
        <v>2020</v>
      </c>
      <c r="C1155" s="98">
        <v>534.55871999999999</v>
      </c>
    </row>
    <row r="1156" spans="1:3" x14ac:dyDescent="0.3">
      <c r="A1156" s="98" t="s">
        <v>113</v>
      </c>
      <c r="B1156" s="98">
        <v>2021</v>
      </c>
      <c r="C1156" s="98">
        <v>579.16034000000002</v>
      </c>
    </row>
    <row r="1157" spans="1:3" x14ac:dyDescent="0.3">
      <c r="A1157" s="98" t="s">
        <v>113</v>
      </c>
      <c r="B1157" s="98">
        <v>2022</v>
      </c>
      <c r="C1157" s="98">
        <v>614.99811999999997</v>
      </c>
    </row>
    <row r="1158" spans="1:3" x14ac:dyDescent="0.3">
      <c r="A1158" s="98" t="s">
        <v>114</v>
      </c>
      <c r="B1158" s="98">
        <v>2001</v>
      </c>
      <c r="C1158" s="98">
        <v>8.4094999999999995</v>
      </c>
    </row>
    <row r="1159" spans="1:3" x14ac:dyDescent="0.3">
      <c r="A1159" s="98" t="s">
        <v>114</v>
      </c>
      <c r="B1159" s="98">
        <v>2002</v>
      </c>
      <c r="C1159" s="98">
        <v>7.0822000000000003</v>
      </c>
    </row>
    <row r="1160" spans="1:3" x14ac:dyDescent="0.3">
      <c r="A1160" s="98" t="s">
        <v>114</v>
      </c>
      <c r="B1160" s="98">
        <v>2003</v>
      </c>
      <c r="C1160" s="98">
        <v>5.9576000000000002</v>
      </c>
    </row>
    <row r="1161" spans="1:3" x14ac:dyDescent="0.3">
      <c r="A1161" s="98" t="s">
        <v>114</v>
      </c>
      <c r="B1161" s="98">
        <v>2004</v>
      </c>
      <c r="C1161" s="98">
        <v>5.4676</v>
      </c>
    </row>
    <row r="1162" spans="1:3" x14ac:dyDescent="0.3">
      <c r="A1162" s="98" t="s">
        <v>114</v>
      </c>
      <c r="B1162" s="98">
        <v>2005</v>
      </c>
      <c r="C1162" s="98">
        <v>6.3240999999999996</v>
      </c>
    </row>
    <row r="1163" spans="1:3" x14ac:dyDescent="0.3">
      <c r="A1163" s="98" t="s">
        <v>114</v>
      </c>
      <c r="B1163" s="98">
        <v>2006</v>
      </c>
      <c r="C1163" s="98">
        <v>5.6614000000000004</v>
      </c>
    </row>
    <row r="1164" spans="1:3" x14ac:dyDescent="0.3">
      <c r="A1164" s="98" t="s">
        <v>114</v>
      </c>
      <c r="B1164" s="98">
        <v>2007</v>
      </c>
      <c r="C1164" s="98">
        <v>5.0753000000000004</v>
      </c>
    </row>
    <row r="1165" spans="1:3" x14ac:dyDescent="0.3">
      <c r="A1165" s="98" t="s">
        <v>114</v>
      </c>
      <c r="B1165" s="98">
        <v>2008</v>
      </c>
      <c r="C1165" s="98">
        <v>5.2849000000000004</v>
      </c>
    </row>
    <row r="1166" spans="1:3" x14ac:dyDescent="0.3">
      <c r="A1166" s="98" t="s">
        <v>114</v>
      </c>
      <c r="B1166" s="98">
        <v>2009</v>
      </c>
      <c r="C1166" s="98">
        <v>5.1901000000000002</v>
      </c>
    </row>
    <row r="1167" spans="1:3" x14ac:dyDescent="0.3">
      <c r="A1167" s="98" t="s">
        <v>114</v>
      </c>
      <c r="B1167" s="98">
        <v>2010</v>
      </c>
      <c r="C1167" s="98">
        <v>5.6132999999999997</v>
      </c>
    </row>
    <row r="1168" spans="1:3" x14ac:dyDescent="0.3">
      <c r="A1168" s="98" t="s">
        <v>114</v>
      </c>
      <c r="B1168" s="98">
        <v>2011</v>
      </c>
      <c r="C1168" s="98">
        <v>5.7455999999999996</v>
      </c>
    </row>
    <row r="1169" spans="1:3" x14ac:dyDescent="0.3">
      <c r="A1169" s="98" t="s">
        <v>114</v>
      </c>
      <c r="B1169" s="98">
        <v>2012</v>
      </c>
      <c r="C1169" s="98">
        <v>5.6590999999999996</v>
      </c>
    </row>
    <row r="1170" spans="1:3" x14ac:dyDescent="0.3">
      <c r="A1170" s="98" t="s">
        <v>114</v>
      </c>
      <c r="B1170" s="98">
        <v>2013</v>
      </c>
      <c r="C1170" s="98">
        <v>5.4127000000000001</v>
      </c>
    </row>
    <row r="1171" spans="1:3" x14ac:dyDescent="0.3">
      <c r="A1171" s="98" t="s">
        <v>114</v>
      </c>
      <c r="B1171" s="98">
        <v>2014</v>
      </c>
      <c r="C1171" s="98">
        <v>6.1214000000000004</v>
      </c>
    </row>
    <row r="1172" spans="1:3" x14ac:dyDescent="0.3">
      <c r="A1172" s="98" t="s">
        <v>114</v>
      </c>
      <c r="B1172" s="98">
        <v>2015</v>
      </c>
      <c r="C1172" s="98">
        <v>6.83</v>
      </c>
    </row>
    <row r="1173" spans="1:3" x14ac:dyDescent="0.3">
      <c r="A1173" s="98" t="s">
        <v>114</v>
      </c>
      <c r="B1173" s="98">
        <v>2016</v>
      </c>
      <c r="C1173" s="98">
        <v>7.0528000000000004</v>
      </c>
    </row>
    <row r="1174" spans="1:3" x14ac:dyDescent="0.3">
      <c r="A1174" s="98" t="s">
        <v>114</v>
      </c>
      <c r="B1174" s="98">
        <v>2017</v>
      </c>
      <c r="C1174" s="98">
        <v>6.2077</v>
      </c>
    </row>
    <row r="1175" spans="1:3" x14ac:dyDescent="0.3">
      <c r="A1175" s="98" t="s">
        <v>114</v>
      </c>
      <c r="B1175" s="98">
        <v>2018</v>
      </c>
      <c r="C1175" s="98">
        <v>6.5194000000000001</v>
      </c>
    </row>
    <row r="1176" spans="1:3" x14ac:dyDescent="0.3">
      <c r="A1176" s="98" t="s">
        <v>114</v>
      </c>
      <c r="B1176" s="98">
        <v>2019</v>
      </c>
      <c r="C1176" s="98">
        <v>6.6759000000000004</v>
      </c>
    </row>
    <row r="1177" spans="1:3" x14ac:dyDescent="0.3">
      <c r="A1177" s="98" t="s">
        <v>114</v>
      </c>
      <c r="B1177" s="98">
        <v>2020</v>
      </c>
      <c r="C1177" s="98">
        <v>6.0575999999999999</v>
      </c>
    </row>
    <row r="1178" spans="1:3" x14ac:dyDescent="0.3">
      <c r="A1178" s="98" t="s">
        <v>114</v>
      </c>
      <c r="B1178" s="98">
        <v>2021</v>
      </c>
      <c r="C1178" s="98">
        <v>6.5612000000000004</v>
      </c>
    </row>
    <row r="1179" spans="1:3" x14ac:dyDescent="0.3">
      <c r="A1179" s="98" t="s">
        <v>114</v>
      </c>
      <c r="B1179" s="98">
        <v>2022</v>
      </c>
      <c r="C1179" s="98">
        <v>6.9722</v>
      </c>
    </row>
    <row r="1180" spans="1:3" x14ac:dyDescent="0.3">
      <c r="A1180" s="98" t="s">
        <v>115</v>
      </c>
      <c r="B1180" s="98">
        <v>2001</v>
      </c>
      <c r="C1180" s="98">
        <v>177.721</v>
      </c>
    </row>
    <row r="1181" spans="1:3" x14ac:dyDescent="0.3">
      <c r="A1181" s="98" t="s">
        <v>115</v>
      </c>
      <c r="B1181" s="98">
        <v>2002</v>
      </c>
      <c r="C1181" s="98">
        <v>177.721</v>
      </c>
    </row>
    <row r="1182" spans="1:3" x14ac:dyDescent="0.3">
      <c r="A1182" s="98" t="s">
        <v>115</v>
      </c>
      <c r="B1182" s="98">
        <v>2003</v>
      </c>
      <c r="C1182" s="98">
        <v>177.721</v>
      </c>
    </row>
    <row r="1183" spans="1:3" x14ac:dyDescent="0.3">
      <c r="A1183" s="98" t="s">
        <v>115</v>
      </c>
      <c r="B1183" s="98">
        <v>2004</v>
      </c>
      <c r="C1183" s="98">
        <v>177.721</v>
      </c>
    </row>
    <row r="1184" spans="1:3" x14ac:dyDescent="0.3">
      <c r="A1184" s="98" t="s">
        <v>115</v>
      </c>
      <c r="B1184" s="98">
        <v>2005</v>
      </c>
      <c r="C1184" s="98">
        <v>177.721</v>
      </c>
    </row>
    <row r="1185" spans="1:3" x14ac:dyDescent="0.3">
      <c r="A1185" s="98" t="s">
        <v>115</v>
      </c>
      <c r="B1185" s="98">
        <v>2006</v>
      </c>
      <c r="C1185" s="98">
        <v>177.721</v>
      </c>
    </row>
    <row r="1186" spans="1:3" x14ac:dyDescent="0.3">
      <c r="A1186" s="98" t="s">
        <v>115</v>
      </c>
      <c r="B1186" s="98">
        <v>2007</v>
      </c>
      <c r="C1186" s="98">
        <v>177.721</v>
      </c>
    </row>
    <row r="1187" spans="1:3" x14ac:dyDescent="0.3">
      <c r="A1187" s="98" t="s">
        <v>115</v>
      </c>
      <c r="B1187" s="98">
        <v>2008</v>
      </c>
      <c r="C1187" s="98">
        <v>177.721</v>
      </c>
    </row>
    <row r="1188" spans="1:3" x14ac:dyDescent="0.3">
      <c r="A1188" s="98" t="s">
        <v>115</v>
      </c>
      <c r="B1188" s="98">
        <v>2009</v>
      </c>
      <c r="C1188" s="98">
        <v>177.721</v>
      </c>
    </row>
    <row r="1189" spans="1:3" x14ac:dyDescent="0.3">
      <c r="A1189" s="98" t="s">
        <v>115</v>
      </c>
      <c r="B1189" s="98">
        <v>2010</v>
      </c>
      <c r="C1189" s="98">
        <v>177.721</v>
      </c>
    </row>
    <row r="1190" spans="1:3" x14ac:dyDescent="0.3">
      <c r="A1190" s="98" t="s">
        <v>115</v>
      </c>
      <c r="B1190" s="98">
        <v>2011</v>
      </c>
      <c r="C1190" s="98">
        <v>177.721</v>
      </c>
    </row>
    <row r="1191" spans="1:3" x14ac:dyDescent="0.3">
      <c r="A1191" s="98" t="s">
        <v>115</v>
      </c>
      <c r="B1191" s="98">
        <v>2012</v>
      </c>
      <c r="C1191" s="98">
        <v>177.721</v>
      </c>
    </row>
    <row r="1192" spans="1:3" x14ac:dyDescent="0.3">
      <c r="A1192" s="98" t="s">
        <v>115</v>
      </c>
      <c r="B1192" s="98">
        <v>2013</v>
      </c>
      <c r="C1192" s="98">
        <v>177.721</v>
      </c>
    </row>
    <row r="1193" spans="1:3" x14ac:dyDescent="0.3">
      <c r="A1193" s="98" t="s">
        <v>115</v>
      </c>
      <c r="B1193" s="98">
        <v>2014</v>
      </c>
      <c r="C1193" s="98">
        <v>177.721</v>
      </c>
    </row>
    <row r="1194" spans="1:3" x14ac:dyDescent="0.3">
      <c r="A1194" s="98" t="s">
        <v>115</v>
      </c>
      <c r="B1194" s="98">
        <v>2015</v>
      </c>
      <c r="C1194" s="98">
        <v>177.721</v>
      </c>
    </row>
    <row r="1195" spans="1:3" x14ac:dyDescent="0.3">
      <c r="A1195" s="98" t="s">
        <v>115</v>
      </c>
      <c r="B1195" s="98">
        <v>2016</v>
      </c>
      <c r="C1195" s="98">
        <v>177.721</v>
      </c>
    </row>
    <row r="1196" spans="1:3" x14ac:dyDescent="0.3">
      <c r="A1196" s="98" t="s">
        <v>115</v>
      </c>
      <c r="B1196" s="98">
        <v>2017</v>
      </c>
      <c r="C1196" s="98">
        <v>177.721</v>
      </c>
    </row>
    <row r="1197" spans="1:3" x14ac:dyDescent="0.3">
      <c r="A1197" s="98" t="s">
        <v>115</v>
      </c>
      <c r="B1197" s="98">
        <v>2018</v>
      </c>
      <c r="C1197" s="98">
        <v>177.721</v>
      </c>
    </row>
    <row r="1198" spans="1:3" x14ac:dyDescent="0.3">
      <c r="A1198" s="98" t="s">
        <v>115</v>
      </c>
      <c r="B1198" s="98">
        <v>2019</v>
      </c>
      <c r="C1198" s="98">
        <v>177.721</v>
      </c>
    </row>
    <row r="1199" spans="1:3" x14ac:dyDescent="0.3">
      <c r="A1199" s="98" t="s">
        <v>115</v>
      </c>
      <c r="B1199" s="98">
        <v>2020</v>
      </c>
      <c r="C1199" s="98">
        <v>177.721</v>
      </c>
    </row>
    <row r="1200" spans="1:3" x14ac:dyDescent="0.3">
      <c r="A1200" s="98" t="s">
        <v>115</v>
      </c>
      <c r="B1200" s="98">
        <v>2021</v>
      </c>
      <c r="C1200" s="98">
        <v>177.721</v>
      </c>
    </row>
    <row r="1201" spans="1:3" x14ac:dyDescent="0.3">
      <c r="A1201" s="98" t="s">
        <v>115</v>
      </c>
      <c r="B1201" s="98">
        <v>2022</v>
      </c>
      <c r="C1201" s="98">
        <v>177.721</v>
      </c>
    </row>
    <row r="1202" spans="1:3" x14ac:dyDescent="0.3">
      <c r="A1202" s="98" t="s">
        <v>116</v>
      </c>
      <c r="B1202" s="98">
        <v>2001</v>
      </c>
      <c r="C1202" s="98">
        <v>2.7</v>
      </c>
    </row>
    <row r="1203" spans="1:3" x14ac:dyDescent="0.3">
      <c r="A1203" s="98" t="s">
        <v>116</v>
      </c>
      <c r="B1203" s="98">
        <v>2002</v>
      </c>
      <c r="C1203" s="98">
        <v>2.7</v>
      </c>
    </row>
    <row r="1204" spans="1:3" x14ac:dyDescent="0.3">
      <c r="A1204" s="98" t="s">
        <v>116</v>
      </c>
      <c r="B1204" s="98">
        <v>2003</v>
      </c>
      <c r="C1204" s="98">
        <v>2.7</v>
      </c>
    </row>
    <row r="1205" spans="1:3" x14ac:dyDescent="0.3">
      <c r="A1205" s="98" t="s">
        <v>116</v>
      </c>
      <c r="B1205" s="98">
        <v>2004</v>
      </c>
      <c r="C1205" s="98">
        <v>2.7</v>
      </c>
    </row>
    <row r="1206" spans="1:3" x14ac:dyDescent="0.3">
      <c r="A1206" s="98" t="s">
        <v>116</v>
      </c>
      <c r="B1206" s="98">
        <v>2005</v>
      </c>
      <c r="C1206" s="98">
        <v>2.7</v>
      </c>
    </row>
    <row r="1207" spans="1:3" x14ac:dyDescent="0.3">
      <c r="A1207" s="98" t="s">
        <v>116</v>
      </c>
      <c r="B1207" s="98">
        <v>2006</v>
      </c>
      <c r="C1207" s="98">
        <v>2.7</v>
      </c>
    </row>
    <row r="1208" spans="1:3" x14ac:dyDescent="0.3">
      <c r="A1208" s="98" t="s">
        <v>116</v>
      </c>
      <c r="B1208" s="98">
        <v>2007</v>
      </c>
      <c r="C1208" s="98">
        <v>2.7</v>
      </c>
    </row>
    <row r="1209" spans="1:3" x14ac:dyDescent="0.3">
      <c r="A1209" s="98" t="s">
        <v>116</v>
      </c>
      <c r="B1209" s="98">
        <v>2008</v>
      </c>
      <c r="C1209" s="98">
        <v>2.7</v>
      </c>
    </row>
    <row r="1210" spans="1:3" x14ac:dyDescent="0.3">
      <c r="A1210" s="98" t="s">
        <v>116</v>
      </c>
      <c r="B1210" s="98">
        <v>2009</v>
      </c>
      <c r="C1210" s="98">
        <v>2.7</v>
      </c>
    </row>
    <row r="1211" spans="1:3" x14ac:dyDescent="0.3">
      <c r="A1211" s="98" t="s">
        <v>116</v>
      </c>
      <c r="B1211" s="98">
        <v>2010</v>
      </c>
      <c r="C1211" s="98">
        <v>2.7</v>
      </c>
    </row>
    <row r="1212" spans="1:3" x14ac:dyDescent="0.3">
      <c r="A1212" s="98" t="s">
        <v>116</v>
      </c>
      <c r="B1212" s="98">
        <v>2011</v>
      </c>
      <c r="C1212" s="98">
        <v>2.7</v>
      </c>
    </row>
    <row r="1213" spans="1:3" x14ac:dyDescent="0.3">
      <c r="A1213" s="98" t="s">
        <v>116</v>
      </c>
      <c r="B1213" s="98">
        <v>2012</v>
      </c>
      <c r="C1213" s="98">
        <v>2.7</v>
      </c>
    </row>
    <row r="1214" spans="1:3" x14ac:dyDescent="0.3">
      <c r="A1214" s="98" t="s">
        <v>116</v>
      </c>
      <c r="B1214" s="98">
        <v>2013</v>
      </c>
      <c r="C1214" s="98">
        <v>2.7</v>
      </c>
    </row>
    <row r="1215" spans="1:3" x14ac:dyDescent="0.3">
      <c r="A1215" s="98" t="s">
        <v>116</v>
      </c>
      <c r="B1215" s="98">
        <v>2014</v>
      </c>
      <c r="C1215" s="98">
        <v>2.7</v>
      </c>
    </row>
    <row r="1216" spans="1:3" x14ac:dyDescent="0.3">
      <c r="A1216" s="98" t="s">
        <v>116</v>
      </c>
      <c r="B1216" s="98">
        <v>2015</v>
      </c>
      <c r="C1216" s="98">
        <v>2.7</v>
      </c>
    </row>
    <row r="1217" spans="1:3" x14ac:dyDescent="0.3">
      <c r="A1217" s="98" t="s">
        <v>116</v>
      </c>
      <c r="B1217" s="98">
        <v>2016</v>
      </c>
      <c r="C1217" s="98">
        <v>2.7</v>
      </c>
    </row>
    <row r="1218" spans="1:3" x14ac:dyDescent="0.3">
      <c r="A1218" s="98" t="s">
        <v>116</v>
      </c>
      <c r="B1218" s="98">
        <v>2017</v>
      </c>
      <c r="C1218" s="98">
        <v>2.7</v>
      </c>
    </row>
    <row r="1219" spans="1:3" x14ac:dyDescent="0.3">
      <c r="A1219" s="98" t="s">
        <v>116</v>
      </c>
      <c r="B1219" s="98">
        <v>2018</v>
      </c>
      <c r="C1219" s="98">
        <v>2.7</v>
      </c>
    </row>
    <row r="1220" spans="1:3" x14ac:dyDescent="0.3">
      <c r="A1220" s="98" t="s">
        <v>116</v>
      </c>
      <c r="B1220" s="98">
        <v>2019</v>
      </c>
      <c r="C1220" s="98">
        <v>2.7</v>
      </c>
    </row>
    <row r="1221" spans="1:3" x14ac:dyDescent="0.3">
      <c r="A1221" s="98" t="s">
        <v>116</v>
      </c>
      <c r="B1221" s="98">
        <v>2020</v>
      </c>
      <c r="C1221" s="98">
        <v>2.7</v>
      </c>
    </row>
    <row r="1222" spans="1:3" x14ac:dyDescent="0.3">
      <c r="A1222" s="98" t="s">
        <v>116</v>
      </c>
      <c r="B1222" s="98">
        <v>2021</v>
      </c>
      <c r="C1222" s="98">
        <v>2.7</v>
      </c>
    </row>
    <row r="1223" spans="1:3" x14ac:dyDescent="0.3">
      <c r="A1223" s="98" t="s">
        <v>116</v>
      </c>
      <c r="B1223" s="98">
        <v>2022</v>
      </c>
      <c r="C1223" s="98">
        <v>2.7</v>
      </c>
    </row>
    <row r="1224" spans="1:3" x14ac:dyDescent="0.3">
      <c r="A1224" s="98" t="s">
        <v>117</v>
      </c>
      <c r="B1224" s="98">
        <v>2001</v>
      </c>
      <c r="C1224" s="98">
        <v>16.97</v>
      </c>
    </row>
    <row r="1225" spans="1:3" x14ac:dyDescent="0.3">
      <c r="A1225" s="98" t="s">
        <v>117</v>
      </c>
      <c r="B1225" s="98">
        <v>2002</v>
      </c>
      <c r="C1225" s="98">
        <v>17.760000000000002</v>
      </c>
    </row>
    <row r="1226" spans="1:3" x14ac:dyDescent="0.3">
      <c r="A1226" s="98" t="s">
        <v>117</v>
      </c>
      <c r="B1226" s="98">
        <v>2003</v>
      </c>
      <c r="C1226" s="98">
        <v>35.06</v>
      </c>
    </row>
    <row r="1227" spans="1:3" x14ac:dyDescent="0.3">
      <c r="A1227" s="98" t="s">
        <v>117</v>
      </c>
      <c r="B1227" s="98">
        <v>2004</v>
      </c>
      <c r="C1227" s="98">
        <v>31.05</v>
      </c>
    </row>
    <row r="1228" spans="1:3" x14ac:dyDescent="0.3">
      <c r="A1228" s="98" t="s">
        <v>117</v>
      </c>
      <c r="B1228" s="98">
        <v>2005</v>
      </c>
      <c r="C1228" s="98">
        <v>34.498800000000003</v>
      </c>
    </row>
    <row r="1229" spans="1:3" x14ac:dyDescent="0.3">
      <c r="A1229" s="98" t="s">
        <v>117</v>
      </c>
      <c r="B1229" s="98">
        <v>2006</v>
      </c>
      <c r="C1229" s="98">
        <v>33.775100000000002</v>
      </c>
    </row>
    <row r="1230" spans="1:3" x14ac:dyDescent="0.3">
      <c r="A1230" s="98" t="s">
        <v>117</v>
      </c>
      <c r="B1230" s="98">
        <v>2007</v>
      </c>
      <c r="C1230" s="98">
        <v>34.166600000000003</v>
      </c>
    </row>
    <row r="1231" spans="1:3" x14ac:dyDescent="0.3">
      <c r="A1231" s="98" t="s">
        <v>117</v>
      </c>
      <c r="B1231" s="98">
        <v>2008</v>
      </c>
      <c r="C1231" s="98">
        <v>35.389400000000002</v>
      </c>
    </row>
    <row r="1232" spans="1:3" x14ac:dyDescent="0.3">
      <c r="A1232" s="98" t="s">
        <v>117</v>
      </c>
      <c r="B1232" s="98">
        <v>2009</v>
      </c>
      <c r="C1232" s="98">
        <v>36.120100000000001</v>
      </c>
    </row>
    <row r="1233" spans="1:3" x14ac:dyDescent="0.3">
      <c r="A1233" s="98" t="s">
        <v>117</v>
      </c>
      <c r="B1233" s="98">
        <v>2010</v>
      </c>
      <c r="C1233" s="98">
        <v>37.538600000000002</v>
      </c>
    </row>
    <row r="1234" spans="1:3" x14ac:dyDescent="0.3">
      <c r="A1234" s="98" t="s">
        <v>117</v>
      </c>
      <c r="B1234" s="98">
        <v>2011</v>
      </c>
      <c r="C1234" s="98">
        <v>38.822600000000001</v>
      </c>
    </row>
    <row r="1235" spans="1:3" x14ac:dyDescent="0.3">
      <c r="A1235" s="98" t="s">
        <v>117</v>
      </c>
      <c r="B1235" s="98">
        <v>2012</v>
      </c>
      <c r="C1235" s="98">
        <v>40.396700000000003</v>
      </c>
    </row>
    <row r="1236" spans="1:3" x14ac:dyDescent="0.3">
      <c r="A1236" s="98" t="s">
        <v>117</v>
      </c>
      <c r="B1236" s="98">
        <v>2013</v>
      </c>
      <c r="C1236" s="98">
        <v>42.790199999999999</v>
      </c>
    </row>
    <row r="1237" spans="1:3" x14ac:dyDescent="0.3">
      <c r="A1237" s="98" t="s">
        <v>117</v>
      </c>
      <c r="B1237" s="98">
        <v>2014</v>
      </c>
      <c r="C1237" s="98">
        <v>44.356299999999997</v>
      </c>
    </row>
    <row r="1238" spans="1:3" x14ac:dyDescent="0.3">
      <c r="A1238" s="98" t="s">
        <v>117</v>
      </c>
      <c r="B1238" s="98">
        <v>2015</v>
      </c>
      <c r="C1238" s="98">
        <v>45.554400000000001</v>
      </c>
    </row>
    <row r="1239" spans="1:3" x14ac:dyDescent="0.3">
      <c r="A1239" s="98" t="s">
        <v>117</v>
      </c>
      <c r="B1239" s="98">
        <v>2016</v>
      </c>
      <c r="C1239" s="98">
        <v>46.706200000000003</v>
      </c>
    </row>
    <row r="1240" spans="1:3" x14ac:dyDescent="0.3">
      <c r="A1240" s="98" t="s">
        <v>117</v>
      </c>
      <c r="B1240" s="98">
        <v>2017</v>
      </c>
      <c r="C1240" s="98">
        <v>48.299300000000002</v>
      </c>
    </row>
    <row r="1241" spans="1:3" x14ac:dyDescent="0.3">
      <c r="A1241" s="98" t="s">
        <v>117</v>
      </c>
      <c r="B1241" s="98">
        <v>2018</v>
      </c>
      <c r="C1241" s="98">
        <v>50.276200000000003</v>
      </c>
    </row>
    <row r="1242" spans="1:3" x14ac:dyDescent="0.3">
      <c r="A1242" s="98" t="s">
        <v>117</v>
      </c>
      <c r="B1242" s="98">
        <v>2019</v>
      </c>
      <c r="C1242" s="98">
        <v>52.960099999999997</v>
      </c>
    </row>
    <row r="1243" spans="1:3" x14ac:dyDescent="0.3">
      <c r="A1243" s="98" t="s">
        <v>117</v>
      </c>
      <c r="B1243" s="98">
        <v>2020</v>
      </c>
      <c r="C1243" s="98">
        <v>58.325899999999997</v>
      </c>
    </row>
    <row r="1244" spans="1:3" x14ac:dyDescent="0.3">
      <c r="A1244" s="98" t="s">
        <v>117</v>
      </c>
      <c r="B1244" s="98">
        <v>2021</v>
      </c>
      <c r="C1244" s="98">
        <v>57.545099999999998</v>
      </c>
    </row>
    <row r="1245" spans="1:3" x14ac:dyDescent="0.3">
      <c r="A1245" s="98" t="s">
        <v>117</v>
      </c>
      <c r="B1245" s="98">
        <v>2022</v>
      </c>
      <c r="C1245" s="98">
        <v>56.414200000000001</v>
      </c>
    </row>
    <row r="1246" spans="1:3" x14ac:dyDescent="0.3">
      <c r="A1246" s="98" t="s">
        <v>118</v>
      </c>
      <c r="B1246" s="98">
        <v>2001</v>
      </c>
      <c r="C1246" s="98">
        <v>2.7</v>
      </c>
    </row>
    <row r="1247" spans="1:3" x14ac:dyDescent="0.3">
      <c r="A1247" s="98" t="s">
        <v>118</v>
      </c>
      <c r="B1247" s="98">
        <v>2002</v>
      </c>
      <c r="C1247" s="98">
        <v>2.7</v>
      </c>
    </row>
    <row r="1248" spans="1:3" x14ac:dyDescent="0.3">
      <c r="A1248" s="98" t="s">
        <v>118</v>
      </c>
      <c r="B1248" s="98">
        <v>2003</v>
      </c>
      <c r="C1248" s="98">
        <v>2.7</v>
      </c>
    </row>
    <row r="1249" spans="1:3" x14ac:dyDescent="0.3">
      <c r="A1249" s="98" t="s">
        <v>118</v>
      </c>
      <c r="B1249" s="98">
        <v>2004</v>
      </c>
      <c r="C1249" s="98">
        <v>2.7</v>
      </c>
    </row>
    <row r="1250" spans="1:3" x14ac:dyDescent="0.3">
      <c r="A1250" s="98" t="s">
        <v>118</v>
      </c>
      <c r="B1250" s="98">
        <v>2005</v>
      </c>
      <c r="C1250" s="98">
        <v>2.7</v>
      </c>
    </row>
    <row r="1251" spans="1:3" x14ac:dyDescent="0.3">
      <c r="A1251" s="98" t="s">
        <v>118</v>
      </c>
      <c r="B1251" s="98">
        <v>2006</v>
      </c>
      <c r="C1251" s="98">
        <v>2.7</v>
      </c>
    </row>
    <row r="1252" spans="1:3" x14ac:dyDescent="0.3">
      <c r="A1252" s="98" t="s">
        <v>118</v>
      </c>
      <c r="B1252" s="98">
        <v>2007</v>
      </c>
      <c r="C1252" s="98">
        <v>2.7</v>
      </c>
    </row>
    <row r="1253" spans="1:3" x14ac:dyDescent="0.3">
      <c r="A1253" s="98" t="s">
        <v>118</v>
      </c>
      <c r="B1253" s="98">
        <v>2008</v>
      </c>
      <c r="C1253" s="98">
        <v>2.7</v>
      </c>
    </row>
    <row r="1254" spans="1:3" x14ac:dyDescent="0.3">
      <c r="A1254" s="98" t="s">
        <v>118</v>
      </c>
      <c r="B1254" s="98">
        <v>2009</v>
      </c>
      <c r="C1254" s="98">
        <v>2.7</v>
      </c>
    </row>
    <row r="1255" spans="1:3" x14ac:dyDescent="0.3">
      <c r="A1255" s="98" t="s">
        <v>118</v>
      </c>
      <c r="B1255" s="98">
        <v>2010</v>
      </c>
      <c r="C1255" s="98">
        <v>2.7</v>
      </c>
    </row>
    <row r="1256" spans="1:3" x14ac:dyDescent="0.3">
      <c r="A1256" s="98" t="s">
        <v>118</v>
      </c>
      <c r="B1256" s="98">
        <v>2011</v>
      </c>
      <c r="C1256" s="98">
        <v>2.7</v>
      </c>
    </row>
    <row r="1257" spans="1:3" x14ac:dyDescent="0.3">
      <c r="A1257" s="98" t="s">
        <v>118</v>
      </c>
      <c r="B1257" s="98">
        <v>2012</v>
      </c>
      <c r="C1257" s="98">
        <v>2.7</v>
      </c>
    </row>
    <row r="1258" spans="1:3" x14ac:dyDescent="0.3">
      <c r="A1258" s="98" t="s">
        <v>118</v>
      </c>
      <c r="B1258" s="98">
        <v>2013</v>
      </c>
      <c r="C1258" s="98">
        <v>2.7</v>
      </c>
    </row>
    <row r="1259" spans="1:3" x14ac:dyDescent="0.3">
      <c r="A1259" s="98" t="s">
        <v>118</v>
      </c>
      <c r="B1259" s="98">
        <v>2014</v>
      </c>
      <c r="C1259" s="98">
        <v>2.7</v>
      </c>
    </row>
    <row r="1260" spans="1:3" x14ac:dyDescent="0.3">
      <c r="A1260" s="98" t="s">
        <v>118</v>
      </c>
      <c r="B1260" s="98">
        <v>2015</v>
      </c>
      <c r="C1260" s="98">
        <v>2.7</v>
      </c>
    </row>
    <row r="1261" spans="1:3" x14ac:dyDescent="0.3">
      <c r="A1261" s="98" t="s">
        <v>118</v>
      </c>
      <c r="B1261" s="98">
        <v>2016</v>
      </c>
      <c r="C1261" s="98">
        <v>2.7</v>
      </c>
    </row>
    <row r="1262" spans="1:3" x14ac:dyDescent="0.3">
      <c r="A1262" s="98" t="s">
        <v>118</v>
      </c>
      <c r="B1262" s="98">
        <v>2017</v>
      </c>
      <c r="C1262" s="98">
        <v>2.7</v>
      </c>
    </row>
    <row r="1263" spans="1:3" x14ac:dyDescent="0.3">
      <c r="A1263" s="98" t="s">
        <v>118</v>
      </c>
      <c r="B1263" s="98">
        <v>2018</v>
      </c>
      <c r="C1263" s="98">
        <v>2.7</v>
      </c>
    </row>
    <row r="1264" spans="1:3" x14ac:dyDescent="0.3">
      <c r="A1264" s="98" t="s">
        <v>118</v>
      </c>
      <c r="B1264" s="98">
        <v>2019</v>
      </c>
      <c r="C1264" s="98">
        <v>2.7</v>
      </c>
    </row>
    <row r="1265" spans="1:3" x14ac:dyDescent="0.3">
      <c r="A1265" s="98" t="s">
        <v>118</v>
      </c>
      <c r="B1265" s="98">
        <v>2020</v>
      </c>
      <c r="C1265" s="98">
        <v>2.7</v>
      </c>
    </row>
    <row r="1266" spans="1:3" x14ac:dyDescent="0.3">
      <c r="A1266" s="98" t="s">
        <v>118</v>
      </c>
      <c r="B1266" s="98">
        <v>2021</v>
      </c>
      <c r="C1266" s="98">
        <v>2.7</v>
      </c>
    </row>
    <row r="1267" spans="1:3" x14ac:dyDescent="0.3">
      <c r="A1267" s="98" t="s">
        <v>118</v>
      </c>
      <c r="B1267" s="98">
        <v>2022</v>
      </c>
      <c r="C1267" s="98">
        <v>2.7</v>
      </c>
    </row>
    <row r="1268" spans="1:3" x14ac:dyDescent="0.3">
      <c r="A1268" s="98" t="s">
        <v>119</v>
      </c>
      <c r="B1268" s="98">
        <v>2001</v>
      </c>
      <c r="C1268" s="98">
        <v>1</v>
      </c>
    </row>
    <row r="1269" spans="1:3" x14ac:dyDescent="0.3">
      <c r="A1269" s="98" t="s">
        <v>119</v>
      </c>
      <c r="B1269" s="98">
        <v>2002</v>
      </c>
      <c r="C1269" s="98">
        <v>1</v>
      </c>
    </row>
    <row r="1270" spans="1:3" x14ac:dyDescent="0.3">
      <c r="A1270" s="98" t="s">
        <v>119</v>
      </c>
      <c r="B1270" s="98">
        <v>2003</v>
      </c>
      <c r="C1270" s="98">
        <v>1</v>
      </c>
    </row>
    <row r="1271" spans="1:3" x14ac:dyDescent="0.3">
      <c r="A1271" s="98" t="s">
        <v>119</v>
      </c>
      <c r="B1271" s="98">
        <v>2004</v>
      </c>
      <c r="C1271" s="98">
        <v>1</v>
      </c>
    </row>
    <row r="1272" spans="1:3" x14ac:dyDescent="0.3">
      <c r="A1272" s="98" t="s">
        <v>119</v>
      </c>
      <c r="B1272" s="98">
        <v>2005</v>
      </c>
      <c r="C1272" s="98">
        <v>1</v>
      </c>
    </row>
    <row r="1273" spans="1:3" x14ac:dyDescent="0.3">
      <c r="A1273" s="98" t="s">
        <v>119</v>
      </c>
      <c r="B1273" s="98">
        <v>2006</v>
      </c>
      <c r="C1273" s="98">
        <v>1</v>
      </c>
    </row>
    <row r="1274" spans="1:3" x14ac:dyDescent="0.3">
      <c r="A1274" s="98" t="s">
        <v>119</v>
      </c>
      <c r="B1274" s="98">
        <v>2007</v>
      </c>
      <c r="C1274" s="98">
        <v>1</v>
      </c>
    </row>
    <row r="1275" spans="1:3" x14ac:dyDescent="0.3">
      <c r="A1275" s="98" t="s">
        <v>119</v>
      </c>
      <c r="B1275" s="98">
        <v>2008</v>
      </c>
      <c r="C1275" s="98">
        <v>1</v>
      </c>
    </row>
    <row r="1276" spans="1:3" x14ac:dyDescent="0.3">
      <c r="A1276" s="98" t="s">
        <v>119</v>
      </c>
      <c r="B1276" s="98">
        <v>2009</v>
      </c>
      <c r="C1276" s="98">
        <v>1</v>
      </c>
    </row>
    <row r="1277" spans="1:3" x14ac:dyDescent="0.3">
      <c r="A1277" s="98" t="s">
        <v>119</v>
      </c>
      <c r="B1277" s="98">
        <v>2010</v>
      </c>
      <c r="C1277" s="98">
        <v>1</v>
      </c>
    </row>
    <row r="1278" spans="1:3" x14ac:dyDescent="0.3">
      <c r="A1278" s="98" t="s">
        <v>119</v>
      </c>
      <c r="B1278" s="98">
        <v>2011</v>
      </c>
      <c r="C1278" s="98">
        <v>1</v>
      </c>
    </row>
    <row r="1279" spans="1:3" x14ac:dyDescent="0.3">
      <c r="A1279" s="98" t="s">
        <v>119</v>
      </c>
      <c r="B1279" s="98">
        <v>2012</v>
      </c>
      <c r="C1279" s="98">
        <v>1</v>
      </c>
    </row>
    <row r="1280" spans="1:3" x14ac:dyDescent="0.3">
      <c r="A1280" s="98" t="s">
        <v>119</v>
      </c>
      <c r="B1280" s="98">
        <v>2013</v>
      </c>
      <c r="C1280" s="98">
        <v>1</v>
      </c>
    </row>
    <row r="1281" spans="1:3" x14ac:dyDescent="0.3">
      <c r="A1281" s="98" t="s">
        <v>119</v>
      </c>
      <c r="B1281" s="98">
        <v>2014</v>
      </c>
      <c r="C1281" s="98">
        <v>1</v>
      </c>
    </row>
    <row r="1282" spans="1:3" x14ac:dyDescent="0.3">
      <c r="A1282" s="98" t="s">
        <v>119</v>
      </c>
      <c r="B1282" s="98">
        <v>2015</v>
      </c>
      <c r="C1282" s="98">
        <v>1</v>
      </c>
    </row>
    <row r="1283" spans="1:3" x14ac:dyDescent="0.3">
      <c r="A1283" s="98" t="s">
        <v>119</v>
      </c>
      <c r="B1283" s="98">
        <v>2016</v>
      </c>
      <c r="C1283" s="98">
        <v>1</v>
      </c>
    </row>
    <row r="1284" spans="1:3" x14ac:dyDescent="0.3">
      <c r="A1284" s="98" t="s">
        <v>119</v>
      </c>
      <c r="B1284" s="98">
        <v>2017</v>
      </c>
      <c r="C1284" s="98">
        <v>1</v>
      </c>
    </row>
    <row r="1285" spans="1:3" x14ac:dyDescent="0.3">
      <c r="A1285" s="98" t="s">
        <v>119</v>
      </c>
      <c r="B1285" s="98">
        <v>2018</v>
      </c>
      <c r="C1285" s="98">
        <v>1</v>
      </c>
    </row>
    <row r="1286" spans="1:3" x14ac:dyDescent="0.3">
      <c r="A1286" s="98" t="s">
        <v>119</v>
      </c>
      <c r="B1286" s="98">
        <v>2019</v>
      </c>
      <c r="C1286" s="98">
        <v>1</v>
      </c>
    </row>
    <row r="1287" spans="1:3" x14ac:dyDescent="0.3">
      <c r="A1287" s="98" t="s">
        <v>119</v>
      </c>
      <c r="B1287" s="98">
        <v>2020</v>
      </c>
      <c r="C1287" s="98">
        <v>1</v>
      </c>
    </row>
    <row r="1288" spans="1:3" x14ac:dyDescent="0.3">
      <c r="A1288" s="98" t="s">
        <v>119</v>
      </c>
      <c r="B1288" s="98">
        <v>2021</v>
      </c>
      <c r="C1288" s="98">
        <v>1</v>
      </c>
    </row>
    <row r="1289" spans="1:3" x14ac:dyDescent="0.3">
      <c r="A1289" s="98" t="s">
        <v>119</v>
      </c>
      <c r="B1289" s="98">
        <v>2022</v>
      </c>
      <c r="C1289" s="98">
        <v>1</v>
      </c>
    </row>
    <row r="1290" spans="1:3" x14ac:dyDescent="0.3">
      <c r="A1290" s="98" t="s">
        <v>120</v>
      </c>
      <c r="B1290" s="98">
        <v>2001</v>
      </c>
      <c r="C1290" s="98">
        <v>4.49</v>
      </c>
    </row>
    <row r="1291" spans="1:3" x14ac:dyDescent="0.3">
      <c r="A1291" s="98" t="s">
        <v>120</v>
      </c>
      <c r="B1291" s="98">
        <v>2002</v>
      </c>
      <c r="C1291" s="98">
        <v>4.5</v>
      </c>
    </row>
    <row r="1292" spans="1:3" x14ac:dyDescent="0.3">
      <c r="A1292" s="98" t="s">
        <v>120</v>
      </c>
      <c r="B1292" s="98">
        <v>2003</v>
      </c>
      <c r="C1292" s="98">
        <v>6.1532</v>
      </c>
    </row>
    <row r="1293" spans="1:3" x14ac:dyDescent="0.3">
      <c r="A1293" s="98" t="s">
        <v>120</v>
      </c>
      <c r="B1293" s="98">
        <v>2004</v>
      </c>
      <c r="C1293" s="98">
        <v>6.1314000000000002</v>
      </c>
    </row>
    <row r="1294" spans="1:3" x14ac:dyDescent="0.3">
      <c r="A1294" s="98" t="s">
        <v>120</v>
      </c>
      <c r="B1294" s="98">
        <v>2005</v>
      </c>
      <c r="C1294" s="98">
        <v>5.7321999999999997</v>
      </c>
    </row>
    <row r="1295" spans="1:3" x14ac:dyDescent="0.3">
      <c r="A1295" s="98" t="s">
        <v>120</v>
      </c>
      <c r="B1295" s="98">
        <v>2006</v>
      </c>
      <c r="C1295" s="98">
        <v>5.7035999999999998</v>
      </c>
    </row>
    <row r="1296" spans="1:3" x14ac:dyDescent="0.3">
      <c r="A1296" s="98" t="s">
        <v>120</v>
      </c>
      <c r="B1296" s="98">
        <v>2007</v>
      </c>
      <c r="C1296" s="98">
        <v>5.5038</v>
      </c>
    </row>
    <row r="1297" spans="1:3" x14ac:dyDescent="0.3">
      <c r="A1297" s="98" t="s">
        <v>120</v>
      </c>
      <c r="B1297" s="98">
        <v>2008</v>
      </c>
      <c r="C1297" s="98">
        <v>5.5041000000000002</v>
      </c>
    </row>
    <row r="1298" spans="1:3" x14ac:dyDescent="0.3">
      <c r="A1298" s="98" t="s">
        <v>120</v>
      </c>
      <c r="B1298" s="98">
        <v>2009</v>
      </c>
      <c r="C1298" s="98">
        <v>5.4753999999999996</v>
      </c>
    </row>
    <row r="1299" spans="1:3" x14ac:dyDescent="0.3">
      <c r="A1299" s="98" t="s">
        <v>120</v>
      </c>
      <c r="B1299" s="98">
        <v>2010</v>
      </c>
      <c r="C1299" s="98">
        <v>5.7926000000000002</v>
      </c>
    </row>
    <row r="1300" spans="1:3" x14ac:dyDescent="0.3">
      <c r="A1300" s="98" t="s">
        <v>120</v>
      </c>
      <c r="B1300" s="98">
        <v>2011</v>
      </c>
      <c r="C1300" s="98">
        <v>6.0168999999999997</v>
      </c>
    </row>
    <row r="1301" spans="1:3" x14ac:dyDescent="0.3">
      <c r="A1301" s="98" t="s">
        <v>120</v>
      </c>
      <c r="B1301" s="98">
        <v>2012</v>
      </c>
      <c r="C1301" s="98">
        <v>6.3056999999999999</v>
      </c>
    </row>
    <row r="1302" spans="1:3" x14ac:dyDescent="0.3">
      <c r="A1302" s="98" t="s">
        <v>120</v>
      </c>
      <c r="B1302" s="98">
        <v>2013</v>
      </c>
      <c r="C1302" s="98">
        <v>6.9429999999999996</v>
      </c>
    </row>
    <row r="1303" spans="1:3" x14ac:dyDescent="0.3">
      <c r="A1303" s="98" t="s">
        <v>120</v>
      </c>
      <c r="B1303" s="98">
        <v>2014</v>
      </c>
      <c r="C1303" s="98">
        <v>7.1430999999999996</v>
      </c>
    </row>
    <row r="1304" spans="1:3" x14ac:dyDescent="0.3">
      <c r="A1304" s="98" t="s">
        <v>120</v>
      </c>
      <c r="B1304" s="98">
        <v>2015</v>
      </c>
      <c r="C1304" s="98">
        <v>7.8079999999999998</v>
      </c>
    </row>
    <row r="1305" spans="1:3" x14ac:dyDescent="0.3">
      <c r="A1305" s="98" t="s">
        <v>120</v>
      </c>
      <c r="B1305" s="98">
        <v>2016</v>
      </c>
      <c r="C1305" s="98">
        <v>18.125</v>
      </c>
    </row>
    <row r="1306" spans="1:3" x14ac:dyDescent="0.3">
      <c r="A1306" s="98" t="s">
        <v>120</v>
      </c>
      <c r="B1306" s="98">
        <v>2017</v>
      </c>
      <c r="C1306" s="98">
        <v>17.680833</v>
      </c>
    </row>
    <row r="1307" spans="1:3" x14ac:dyDescent="0.3">
      <c r="A1307" s="98" t="s">
        <v>120</v>
      </c>
      <c r="B1307" s="98">
        <v>2018</v>
      </c>
      <c r="C1307" s="98">
        <v>17.869299999999999</v>
      </c>
    </row>
    <row r="1308" spans="1:3" x14ac:dyDescent="0.3">
      <c r="A1308" s="98" t="s">
        <v>120</v>
      </c>
      <c r="B1308" s="98">
        <v>2019</v>
      </c>
      <c r="C1308" s="98">
        <v>15.9931</v>
      </c>
    </row>
    <row r="1309" spans="1:3" x14ac:dyDescent="0.3">
      <c r="A1309" s="98" t="s">
        <v>120</v>
      </c>
      <c r="B1309" s="98">
        <v>2020</v>
      </c>
      <c r="C1309" s="98">
        <v>15.684200000000001</v>
      </c>
    </row>
    <row r="1310" spans="1:3" x14ac:dyDescent="0.3">
      <c r="A1310" s="98" t="s">
        <v>120</v>
      </c>
      <c r="B1310" s="98">
        <v>2021</v>
      </c>
      <c r="C1310" s="98">
        <v>15.661099999999999</v>
      </c>
    </row>
    <row r="1311" spans="1:3" x14ac:dyDescent="0.3">
      <c r="A1311" s="98" t="s">
        <v>120</v>
      </c>
      <c r="B1311" s="98">
        <v>2022</v>
      </c>
      <c r="C1311" s="98">
        <v>24.689399999999999</v>
      </c>
    </row>
    <row r="1312" spans="1:3" x14ac:dyDescent="0.3">
      <c r="A1312" s="98" t="s">
        <v>121</v>
      </c>
      <c r="B1312" s="98">
        <v>2001</v>
      </c>
      <c r="C1312" s="98">
        <v>1</v>
      </c>
    </row>
    <row r="1313" spans="1:3" x14ac:dyDescent="0.3">
      <c r="A1313" s="98" t="s">
        <v>121</v>
      </c>
      <c r="B1313" s="98">
        <v>2002</v>
      </c>
      <c r="C1313" s="98">
        <v>1</v>
      </c>
    </row>
    <row r="1314" spans="1:3" x14ac:dyDescent="0.3">
      <c r="A1314" s="98" t="s">
        <v>121</v>
      </c>
      <c r="B1314" s="98">
        <v>2003</v>
      </c>
      <c r="C1314" s="98">
        <v>1</v>
      </c>
    </row>
    <row r="1315" spans="1:3" x14ac:dyDescent="0.3">
      <c r="A1315" s="98" t="s">
        <v>121</v>
      </c>
      <c r="B1315" s="98">
        <v>2004</v>
      </c>
      <c r="C1315" s="98">
        <v>1</v>
      </c>
    </row>
    <row r="1316" spans="1:3" x14ac:dyDescent="0.3">
      <c r="A1316" s="98" t="s">
        <v>121</v>
      </c>
      <c r="B1316" s="98">
        <v>2005</v>
      </c>
      <c r="C1316" s="98">
        <v>1</v>
      </c>
    </row>
    <row r="1317" spans="1:3" x14ac:dyDescent="0.3">
      <c r="A1317" s="98" t="s">
        <v>121</v>
      </c>
      <c r="B1317" s="98">
        <v>2006</v>
      </c>
      <c r="C1317" s="98">
        <v>1</v>
      </c>
    </row>
    <row r="1318" spans="1:3" x14ac:dyDescent="0.3">
      <c r="A1318" s="98" t="s">
        <v>121</v>
      </c>
      <c r="B1318" s="98">
        <v>2007</v>
      </c>
      <c r="C1318" s="98">
        <v>1</v>
      </c>
    </row>
    <row r="1319" spans="1:3" x14ac:dyDescent="0.3">
      <c r="A1319" s="98" t="s">
        <v>121</v>
      </c>
      <c r="B1319" s="98">
        <v>2008</v>
      </c>
      <c r="C1319" s="98">
        <v>1</v>
      </c>
    </row>
    <row r="1320" spans="1:3" x14ac:dyDescent="0.3">
      <c r="A1320" s="98" t="s">
        <v>121</v>
      </c>
      <c r="B1320" s="98">
        <v>2009</v>
      </c>
      <c r="C1320" s="98">
        <v>1</v>
      </c>
    </row>
    <row r="1321" spans="1:3" x14ac:dyDescent="0.3">
      <c r="A1321" s="98" t="s">
        <v>121</v>
      </c>
      <c r="B1321" s="98">
        <v>2010</v>
      </c>
      <c r="C1321" s="98">
        <v>1</v>
      </c>
    </row>
    <row r="1322" spans="1:3" x14ac:dyDescent="0.3">
      <c r="A1322" s="98" t="s">
        <v>121</v>
      </c>
      <c r="B1322" s="98">
        <v>2011</v>
      </c>
      <c r="C1322" s="98">
        <v>1</v>
      </c>
    </row>
    <row r="1323" spans="1:3" x14ac:dyDescent="0.3">
      <c r="A1323" s="98" t="s">
        <v>121</v>
      </c>
      <c r="B1323" s="98">
        <v>2012</v>
      </c>
      <c r="C1323" s="98">
        <v>1</v>
      </c>
    </row>
    <row r="1324" spans="1:3" x14ac:dyDescent="0.3">
      <c r="A1324" s="98" t="s">
        <v>121</v>
      </c>
      <c r="B1324" s="98">
        <v>2013</v>
      </c>
      <c r="C1324" s="98">
        <v>1</v>
      </c>
    </row>
    <row r="1325" spans="1:3" x14ac:dyDescent="0.3">
      <c r="A1325" s="98" t="s">
        <v>121</v>
      </c>
      <c r="B1325" s="98">
        <v>2014</v>
      </c>
      <c r="C1325" s="98">
        <v>1</v>
      </c>
    </row>
    <row r="1326" spans="1:3" x14ac:dyDescent="0.3">
      <c r="A1326" s="98" t="s">
        <v>121</v>
      </c>
      <c r="B1326" s="98">
        <v>2015</v>
      </c>
      <c r="C1326" s="98">
        <v>1</v>
      </c>
    </row>
    <row r="1327" spans="1:3" x14ac:dyDescent="0.3">
      <c r="A1327" s="98" t="s">
        <v>121</v>
      </c>
      <c r="B1327" s="98">
        <v>2016</v>
      </c>
      <c r="C1327" s="98">
        <v>1</v>
      </c>
    </row>
    <row r="1328" spans="1:3" x14ac:dyDescent="0.3">
      <c r="A1328" s="98" t="s">
        <v>121</v>
      </c>
      <c r="B1328" s="98">
        <v>2017</v>
      </c>
      <c r="C1328" s="98">
        <v>1</v>
      </c>
    </row>
    <row r="1329" spans="1:3" x14ac:dyDescent="0.3">
      <c r="A1329" s="98" t="s">
        <v>121</v>
      </c>
      <c r="B1329" s="98">
        <v>2018</v>
      </c>
      <c r="C1329" s="98">
        <v>1</v>
      </c>
    </row>
    <row r="1330" spans="1:3" x14ac:dyDescent="0.3">
      <c r="A1330" s="98" t="s">
        <v>121</v>
      </c>
      <c r="B1330" s="98">
        <v>2019</v>
      </c>
      <c r="C1330" s="98">
        <v>1</v>
      </c>
    </row>
    <row r="1331" spans="1:3" x14ac:dyDescent="0.3">
      <c r="A1331" s="98" t="s">
        <v>121</v>
      </c>
      <c r="B1331" s="98">
        <v>2020</v>
      </c>
      <c r="C1331" s="98">
        <v>1</v>
      </c>
    </row>
    <row r="1332" spans="1:3" x14ac:dyDescent="0.3">
      <c r="A1332" s="98" t="s">
        <v>121</v>
      </c>
      <c r="B1332" s="98">
        <v>2021</v>
      </c>
      <c r="C1332" s="98">
        <v>1</v>
      </c>
    </row>
    <row r="1333" spans="1:3" x14ac:dyDescent="0.3">
      <c r="A1333" s="98" t="s">
        <v>121</v>
      </c>
      <c r="B1333" s="98">
        <v>2022</v>
      </c>
      <c r="C1333" s="98">
        <v>1</v>
      </c>
    </row>
    <row r="1334" spans="1:3" x14ac:dyDescent="0.3">
      <c r="A1334" s="98" t="s">
        <v>122</v>
      </c>
      <c r="B1334" s="98">
        <v>2001</v>
      </c>
      <c r="C1334" s="98">
        <v>744.30614000000003</v>
      </c>
    </row>
    <row r="1335" spans="1:3" x14ac:dyDescent="0.3">
      <c r="A1335" s="98" t="s">
        <v>122</v>
      </c>
      <c r="B1335" s="98">
        <v>2002</v>
      </c>
      <c r="C1335" s="98">
        <v>625.49537999999995</v>
      </c>
    </row>
    <row r="1336" spans="1:3" x14ac:dyDescent="0.3">
      <c r="A1336" s="98" t="s">
        <v>122</v>
      </c>
      <c r="B1336" s="98">
        <v>2003</v>
      </c>
      <c r="C1336" s="98">
        <v>519.36420999999996</v>
      </c>
    </row>
    <row r="1337" spans="1:3" x14ac:dyDescent="0.3">
      <c r="A1337" s="98" t="s">
        <v>122</v>
      </c>
      <c r="B1337" s="98">
        <v>2004</v>
      </c>
      <c r="C1337" s="98">
        <v>481.57771000000002</v>
      </c>
    </row>
    <row r="1338" spans="1:3" x14ac:dyDescent="0.3">
      <c r="A1338" s="98" t="s">
        <v>122</v>
      </c>
      <c r="B1338" s="98">
        <v>2005</v>
      </c>
      <c r="C1338" s="98">
        <v>556.03713000000005</v>
      </c>
    </row>
    <row r="1339" spans="1:3" x14ac:dyDescent="0.3">
      <c r="A1339" s="98" t="s">
        <v>122</v>
      </c>
      <c r="B1339" s="98">
        <v>2006</v>
      </c>
      <c r="C1339" s="98">
        <v>498.06909999999999</v>
      </c>
    </row>
    <row r="1340" spans="1:3" x14ac:dyDescent="0.3">
      <c r="A1340" s="98" t="s">
        <v>122</v>
      </c>
      <c r="B1340" s="98">
        <v>2007</v>
      </c>
      <c r="C1340" s="98">
        <v>445.59269</v>
      </c>
    </row>
    <row r="1341" spans="1:3" x14ac:dyDescent="0.3">
      <c r="A1341" s="98" t="s">
        <v>122</v>
      </c>
      <c r="B1341" s="98">
        <v>2008</v>
      </c>
      <c r="C1341" s="98">
        <v>471.33506</v>
      </c>
    </row>
    <row r="1342" spans="1:3" x14ac:dyDescent="0.3">
      <c r="A1342" s="98" t="s">
        <v>122</v>
      </c>
      <c r="B1342" s="98">
        <v>2009</v>
      </c>
      <c r="C1342" s="98">
        <v>455.33596999999997</v>
      </c>
    </row>
    <row r="1343" spans="1:3" x14ac:dyDescent="0.3">
      <c r="A1343" s="98" t="s">
        <v>122</v>
      </c>
      <c r="B1343" s="98">
        <v>2010</v>
      </c>
      <c r="C1343" s="98">
        <v>490.91228999999998</v>
      </c>
    </row>
    <row r="1344" spans="1:3" x14ac:dyDescent="0.3">
      <c r="A1344" s="98" t="s">
        <v>122</v>
      </c>
      <c r="B1344" s="98">
        <v>2011</v>
      </c>
      <c r="C1344" s="98">
        <v>506.96113000000003</v>
      </c>
    </row>
    <row r="1345" spans="1:3" x14ac:dyDescent="0.3">
      <c r="A1345" s="98" t="s">
        <v>122</v>
      </c>
      <c r="B1345" s="98">
        <v>2012</v>
      </c>
      <c r="C1345" s="98">
        <v>497.16309999999999</v>
      </c>
    </row>
    <row r="1346" spans="1:3" x14ac:dyDescent="0.3">
      <c r="A1346" s="98" t="s">
        <v>122</v>
      </c>
      <c r="B1346" s="98">
        <v>2013</v>
      </c>
      <c r="C1346" s="98">
        <v>475.64136000000002</v>
      </c>
    </row>
    <row r="1347" spans="1:3" x14ac:dyDescent="0.3">
      <c r="A1347" s="98" t="s">
        <v>122</v>
      </c>
      <c r="B1347" s="98">
        <v>2014</v>
      </c>
      <c r="C1347" s="98">
        <v>540.28251</v>
      </c>
    </row>
    <row r="1348" spans="1:3" x14ac:dyDescent="0.3">
      <c r="A1348" s="98" t="s">
        <v>122</v>
      </c>
      <c r="B1348" s="98">
        <v>2015</v>
      </c>
      <c r="C1348" s="98">
        <v>602.51400999999998</v>
      </c>
    </row>
    <row r="1349" spans="1:3" x14ac:dyDescent="0.3">
      <c r="A1349" s="98" t="s">
        <v>122</v>
      </c>
      <c r="B1349" s="98">
        <v>2016</v>
      </c>
      <c r="C1349" s="98">
        <v>622.29105000000004</v>
      </c>
    </row>
    <row r="1350" spans="1:3" x14ac:dyDescent="0.3">
      <c r="A1350" s="98" t="s">
        <v>122</v>
      </c>
      <c r="B1350" s="98">
        <v>2017</v>
      </c>
      <c r="C1350" s="98">
        <v>546.94988999999998</v>
      </c>
    </row>
    <row r="1351" spans="1:3" x14ac:dyDescent="0.3">
      <c r="A1351" s="98" t="s">
        <v>122</v>
      </c>
      <c r="B1351" s="98">
        <v>2018</v>
      </c>
      <c r="C1351" s="98">
        <v>572.88820999999996</v>
      </c>
    </row>
    <row r="1352" spans="1:3" x14ac:dyDescent="0.3">
      <c r="A1352" s="98" t="s">
        <v>122</v>
      </c>
      <c r="B1352" s="98">
        <v>2019</v>
      </c>
      <c r="C1352" s="98">
        <v>583.90332999999998</v>
      </c>
    </row>
    <row r="1353" spans="1:3" x14ac:dyDescent="0.3">
      <c r="A1353" s="98" t="s">
        <v>122</v>
      </c>
      <c r="B1353" s="98">
        <v>2020</v>
      </c>
      <c r="C1353" s="98">
        <v>534.55871999999999</v>
      </c>
    </row>
    <row r="1354" spans="1:3" x14ac:dyDescent="0.3">
      <c r="A1354" s="98" t="s">
        <v>122</v>
      </c>
      <c r="B1354" s="98">
        <v>2021</v>
      </c>
      <c r="C1354" s="98">
        <v>579.16034000000002</v>
      </c>
    </row>
    <row r="1355" spans="1:3" x14ac:dyDescent="0.3">
      <c r="A1355" s="98" t="s">
        <v>122</v>
      </c>
      <c r="B1355" s="98">
        <v>2022</v>
      </c>
      <c r="C1355" s="98">
        <v>614.99811999999997</v>
      </c>
    </row>
    <row r="1356" spans="1:3" x14ac:dyDescent="0.3">
      <c r="A1356" s="98" t="s">
        <v>123</v>
      </c>
      <c r="B1356" s="98">
        <v>2001</v>
      </c>
      <c r="C1356" s="98">
        <v>13.797499999999999</v>
      </c>
    </row>
    <row r="1357" spans="1:3" x14ac:dyDescent="0.3">
      <c r="A1357" s="98" t="s">
        <v>123</v>
      </c>
      <c r="B1357" s="98">
        <v>2002</v>
      </c>
      <c r="C1357" s="98">
        <v>14.3089</v>
      </c>
    </row>
    <row r="1358" spans="1:3" x14ac:dyDescent="0.3">
      <c r="A1358" s="98" t="s">
        <v>123</v>
      </c>
      <c r="B1358" s="98">
        <v>2003</v>
      </c>
      <c r="C1358" s="98">
        <v>13.7875</v>
      </c>
    </row>
    <row r="1359" spans="1:3" x14ac:dyDescent="0.3">
      <c r="A1359" s="98" t="s">
        <v>123</v>
      </c>
      <c r="B1359" s="98">
        <v>2004</v>
      </c>
      <c r="C1359" s="98">
        <v>13.7875</v>
      </c>
    </row>
    <row r="1360" spans="1:3" x14ac:dyDescent="0.3">
      <c r="A1360" s="98" t="s">
        <v>123</v>
      </c>
      <c r="B1360" s="98">
        <v>2005</v>
      </c>
      <c r="C1360" s="98">
        <v>15.375</v>
      </c>
    </row>
    <row r="1361" spans="1:3" x14ac:dyDescent="0.3">
      <c r="A1361" s="98" t="s">
        <v>123</v>
      </c>
      <c r="B1361" s="98">
        <v>2006</v>
      </c>
      <c r="C1361" s="98">
        <v>15.375</v>
      </c>
    </row>
    <row r="1362" spans="1:3" x14ac:dyDescent="0.3">
      <c r="A1362" s="98" t="s">
        <v>123</v>
      </c>
      <c r="B1362" s="98">
        <v>2007</v>
      </c>
      <c r="C1362" s="98">
        <v>15.375</v>
      </c>
    </row>
    <row r="1363" spans="1:3" x14ac:dyDescent="0.3">
      <c r="A1363" s="98" t="s">
        <v>123</v>
      </c>
      <c r="B1363" s="98">
        <v>2008</v>
      </c>
      <c r="C1363" s="98">
        <v>15.375</v>
      </c>
    </row>
    <row r="1364" spans="1:3" x14ac:dyDescent="0.3">
      <c r="A1364" s="98" t="s">
        <v>123</v>
      </c>
      <c r="B1364" s="98">
        <v>2009</v>
      </c>
      <c r="C1364" s="98">
        <v>15.375</v>
      </c>
    </row>
    <row r="1365" spans="1:3" x14ac:dyDescent="0.3">
      <c r="A1365" s="98" t="s">
        <v>123</v>
      </c>
      <c r="B1365" s="98">
        <v>2010</v>
      </c>
      <c r="C1365" s="98">
        <v>15.375</v>
      </c>
    </row>
    <row r="1366" spans="1:3" x14ac:dyDescent="0.3">
      <c r="A1366" s="98" t="s">
        <v>123</v>
      </c>
      <c r="B1366" s="98">
        <v>2011</v>
      </c>
      <c r="C1366" s="98">
        <v>15.375</v>
      </c>
    </row>
    <row r="1367" spans="1:3" x14ac:dyDescent="0.3">
      <c r="A1367" s="98" t="s">
        <v>123</v>
      </c>
      <c r="B1367" s="98">
        <v>2012</v>
      </c>
      <c r="C1367" s="98">
        <v>15.375</v>
      </c>
    </row>
    <row r="1368" spans="1:3" x14ac:dyDescent="0.3">
      <c r="A1368" s="98" t="s">
        <v>123</v>
      </c>
      <c r="B1368" s="98">
        <v>2013</v>
      </c>
      <c r="C1368" s="98">
        <v>15.375</v>
      </c>
    </row>
    <row r="1369" spans="1:3" x14ac:dyDescent="0.3">
      <c r="A1369" s="98" t="s">
        <v>123</v>
      </c>
      <c r="B1369" s="98">
        <v>2014</v>
      </c>
      <c r="C1369" s="98">
        <v>15.375</v>
      </c>
    </row>
    <row r="1370" spans="1:3" x14ac:dyDescent="0.3">
      <c r="A1370" s="98" t="s">
        <v>123</v>
      </c>
      <c r="B1370" s="98">
        <v>2015</v>
      </c>
      <c r="C1370" s="98">
        <v>15.375</v>
      </c>
    </row>
    <row r="1371" spans="1:3" x14ac:dyDescent="0.3">
      <c r="A1371" s="98" t="s">
        <v>123</v>
      </c>
      <c r="B1371" s="98">
        <v>2016</v>
      </c>
      <c r="C1371" s="98">
        <v>15.074999999999999</v>
      </c>
    </row>
    <row r="1372" spans="1:3" x14ac:dyDescent="0.3">
      <c r="A1372" s="98" t="s">
        <v>123</v>
      </c>
      <c r="B1372" s="98">
        <v>2017</v>
      </c>
      <c r="C1372" s="98">
        <v>15.074999999999999</v>
      </c>
    </row>
    <row r="1373" spans="1:3" x14ac:dyDescent="0.3">
      <c r="A1373" s="98" t="s">
        <v>123</v>
      </c>
      <c r="B1373" s="98">
        <v>2018</v>
      </c>
      <c r="C1373" s="98">
        <v>15.074999999999999</v>
      </c>
    </row>
    <row r="1374" spans="1:3" x14ac:dyDescent="0.3">
      <c r="A1374" s="98" t="s">
        <v>123</v>
      </c>
      <c r="B1374" s="98">
        <v>2019</v>
      </c>
      <c r="C1374" s="98">
        <v>15.074999999999999</v>
      </c>
    </row>
    <row r="1375" spans="1:3" x14ac:dyDescent="0.3">
      <c r="A1375" s="98" t="s">
        <v>123</v>
      </c>
      <c r="B1375" s="98">
        <v>2020</v>
      </c>
      <c r="C1375" s="98">
        <v>15.074999999999999</v>
      </c>
    </row>
    <row r="1376" spans="1:3" x14ac:dyDescent="0.3">
      <c r="A1376" s="98" t="s">
        <v>123</v>
      </c>
      <c r="B1376" s="98">
        <v>2021</v>
      </c>
      <c r="C1376" s="98">
        <v>15.074999999999999</v>
      </c>
    </row>
    <row r="1377" spans="1:3" x14ac:dyDescent="0.3">
      <c r="A1377" s="98" t="s">
        <v>123</v>
      </c>
      <c r="B1377" s="98">
        <v>2022</v>
      </c>
      <c r="C1377" s="98">
        <v>15.074999999999999</v>
      </c>
    </row>
    <row r="1378" spans="1:3" x14ac:dyDescent="0.3">
      <c r="A1378" s="98" t="s">
        <v>124</v>
      </c>
      <c r="B1378" s="98">
        <v>2001</v>
      </c>
      <c r="C1378" s="98">
        <v>17.692</v>
      </c>
    </row>
    <row r="1379" spans="1:3" x14ac:dyDescent="0.3">
      <c r="A1379" s="98" t="s">
        <v>124</v>
      </c>
      <c r="B1379" s="98">
        <v>2002</v>
      </c>
      <c r="C1379" s="98">
        <v>14.936400000000001</v>
      </c>
    </row>
    <row r="1380" spans="1:3" x14ac:dyDescent="0.3">
      <c r="A1380" s="98" t="s">
        <v>124</v>
      </c>
      <c r="B1380" s="98">
        <v>2003</v>
      </c>
      <c r="C1380" s="98">
        <v>12.409599999999999</v>
      </c>
    </row>
    <row r="1381" spans="1:3" x14ac:dyDescent="0.3">
      <c r="A1381" s="98" t="s">
        <v>124</v>
      </c>
      <c r="B1381" s="98">
        <v>2004</v>
      </c>
      <c r="C1381" s="98">
        <v>11.4711</v>
      </c>
    </row>
    <row r="1382" spans="1:3" x14ac:dyDescent="0.3">
      <c r="A1382" s="98" t="s">
        <v>124</v>
      </c>
      <c r="B1382" s="98">
        <v>2005</v>
      </c>
      <c r="C1382" s="98">
        <v>13.220599999999999</v>
      </c>
    </row>
    <row r="1383" spans="1:3" x14ac:dyDescent="0.3">
      <c r="A1383" s="98" t="s">
        <v>124</v>
      </c>
      <c r="B1383" s="98">
        <v>2006</v>
      </c>
      <c r="C1383" s="98">
        <v>11.8818</v>
      </c>
    </row>
    <row r="1384" spans="1:3" x14ac:dyDescent="0.3">
      <c r="A1384" s="98" t="s">
        <v>124</v>
      </c>
      <c r="B1384" s="98">
        <v>2007</v>
      </c>
      <c r="C1384" s="98">
        <v>10.638199999999999</v>
      </c>
    </row>
    <row r="1385" spans="1:3" x14ac:dyDescent="0.3">
      <c r="A1385" s="98" t="s">
        <v>124</v>
      </c>
      <c r="B1385" s="98">
        <v>2008</v>
      </c>
      <c r="C1385" s="98">
        <v>11.1052</v>
      </c>
    </row>
    <row r="1386" spans="1:3" x14ac:dyDescent="0.3">
      <c r="A1386" s="98" t="s">
        <v>124</v>
      </c>
      <c r="B1386" s="98">
        <v>2009</v>
      </c>
      <c r="C1386" s="98">
        <v>10.8653</v>
      </c>
    </row>
    <row r="1387" spans="1:3" x14ac:dyDescent="0.3">
      <c r="A1387" s="98" t="s">
        <v>124</v>
      </c>
      <c r="B1387" s="98">
        <v>2010</v>
      </c>
      <c r="C1387" s="98">
        <v>11.710699999999999</v>
      </c>
    </row>
    <row r="1388" spans="1:3" x14ac:dyDescent="0.3">
      <c r="A1388" s="98" t="s">
        <v>124</v>
      </c>
      <c r="B1388" s="98">
        <v>2011</v>
      </c>
    </row>
    <row r="1389" spans="1:3" x14ac:dyDescent="0.3">
      <c r="A1389" s="98" t="s">
        <v>124</v>
      </c>
      <c r="B1389" s="98">
        <v>2012</v>
      </c>
    </row>
    <row r="1390" spans="1:3" x14ac:dyDescent="0.3">
      <c r="A1390" s="98" t="s">
        <v>124</v>
      </c>
      <c r="B1390" s="98">
        <v>2013</v>
      </c>
    </row>
    <row r="1391" spans="1:3" x14ac:dyDescent="0.3">
      <c r="A1391" s="98" t="s">
        <v>124</v>
      </c>
      <c r="B1391" s="98">
        <v>2014</v>
      </c>
    </row>
    <row r="1392" spans="1:3" x14ac:dyDescent="0.3">
      <c r="A1392" s="98" t="s">
        <v>124</v>
      </c>
      <c r="B1392" s="98">
        <v>2015</v>
      </c>
    </row>
    <row r="1393" spans="1:3" x14ac:dyDescent="0.3">
      <c r="A1393" s="98" t="s">
        <v>124</v>
      </c>
      <c r="B1393" s="98">
        <v>2016</v>
      </c>
    </row>
    <row r="1394" spans="1:3" x14ac:dyDescent="0.3">
      <c r="A1394" s="98" t="s">
        <v>124</v>
      </c>
      <c r="B1394" s="98">
        <v>2017</v>
      </c>
    </row>
    <row r="1395" spans="1:3" x14ac:dyDescent="0.3">
      <c r="A1395" s="98" t="s">
        <v>124</v>
      </c>
      <c r="B1395" s="98">
        <v>2018</v>
      </c>
    </row>
    <row r="1396" spans="1:3" x14ac:dyDescent="0.3">
      <c r="A1396" s="98" t="s">
        <v>124</v>
      </c>
      <c r="B1396" s="98">
        <v>2019</v>
      </c>
    </row>
    <row r="1397" spans="1:3" x14ac:dyDescent="0.3">
      <c r="A1397" s="98" t="s">
        <v>124</v>
      </c>
      <c r="B1397" s="98">
        <v>2020</v>
      </c>
    </row>
    <row r="1398" spans="1:3" x14ac:dyDescent="0.3">
      <c r="A1398" s="98" t="s">
        <v>124</v>
      </c>
      <c r="B1398" s="98">
        <v>2021</v>
      </c>
    </row>
    <row r="1399" spans="1:3" x14ac:dyDescent="0.3">
      <c r="A1399" s="98" t="s">
        <v>124</v>
      </c>
      <c r="B1399" s="98">
        <v>2022</v>
      </c>
    </row>
    <row r="1400" spans="1:3" x14ac:dyDescent="0.3">
      <c r="A1400" s="98" t="s">
        <v>125</v>
      </c>
      <c r="B1400" s="98">
        <v>2001</v>
      </c>
      <c r="C1400" s="98">
        <v>12.1265</v>
      </c>
    </row>
    <row r="1401" spans="1:3" x14ac:dyDescent="0.3">
      <c r="A1401" s="98" t="s">
        <v>125</v>
      </c>
      <c r="B1401" s="98">
        <v>2002</v>
      </c>
      <c r="C1401" s="98">
        <v>8.64</v>
      </c>
    </row>
    <row r="1402" spans="1:3" x14ac:dyDescent="0.3">
      <c r="A1402" s="98" t="s">
        <v>125</v>
      </c>
      <c r="B1402" s="98">
        <v>2003</v>
      </c>
      <c r="C1402" s="98">
        <v>6.64</v>
      </c>
    </row>
    <row r="1403" spans="1:3" x14ac:dyDescent="0.3">
      <c r="A1403" s="98" t="s">
        <v>125</v>
      </c>
      <c r="B1403" s="98">
        <v>2004</v>
      </c>
      <c r="C1403" s="98">
        <v>5.63</v>
      </c>
    </row>
    <row r="1404" spans="1:3" x14ac:dyDescent="0.3">
      <c r="A1404" s="98" t="s">
        <v>125</v>
      </c>
      <c r="B1404" s="98">
        <v>2005</v>
      </c>
      <c r="C1404" s="98">
        <v>6.3250000000000002</v>
      </c>
    </row>
    <row r="1405" spans="1:3" x14ac:dyDescent="0.3">
      <c r="A1405" s="98" t="s">
        <v>125</v>
      </c>
      <c r="B1405" s="98">
        <v>2006</v>
      </c>
      <c r="C1405" s="98">
        <v>6.97</v>
      </c>
    </row>
    <row r="1406" spans="1:3" x14ac:dyDescent="0.3">
      <c r="A1406" s="98" t="s">
        <v>125</v>
      </c>
      <c r="B1406" s="98">
        <v>2007</v>
      </c>
      <c r="C1406" s="98">
        <v>6.81</v>
      </c>
    </row>
    <row r="1407" spans="1:3" x14ac:dyDescent="0.3">
      <c r="A1407" s="98" t="s">
        <v>125</v>
      </c>
      <c r="B1407" s="98">
        <v>2008</v>
      </c>
      <c r="C1407" s="98">
        <v>9.3049999999999997</v>
      </c>
    </row>
    <row r="1408" spans="1:3" x14ac:dyDescent="0.3">
      <c r="A1408" s="98" t="s">
        <v>125</v>
      </c>
      <c r="B1408" s="98">
        <v>2009</v>
      </c>
      <c r="C1408" s="98">
        <v>7.38</v>
      </c>
    </row>
    <row r="1409" spans="1:3" x14ac:dyDescent="0.3">
      <c r="A1409" s="98" t="s">
        <v>125</v>
      </c>
      <c r="B1409" s="98">
        <v>2010</v>
      </c>
      <c r="C1409" s="98">
        <v>6.6315999999999997</v>
      </c>
    </row>
    <row r="1410" spans="1:3" x14ac:dyDescent="0.3">
      <c r="A1410" s="98" t="s">
        <v>125</v>
      </c>
      <c r="B1410" s="98">
        <v>2011</v>
      </c>
      <c r="C1410" s="98">
        <v>8.1428999999999991</v>
      </c>
    </row>
    <row r="1411" spans="1:3" x14ac:dyDescent="0.3">
      <c r="A1411" s="98" t="s">
        <v>125</v>
      </c>
      <c r="B1411" s="98">
        <v>2012</v>
      </c>
      <c r="C1411" s="98">
        <v>8.5011500000000009</v>
      </c>
    </row>
    <row r="1412" spans="1:3" x14ac:dyDescent="0.3">
      <c r="A1412" s="98" t="s">
        <v>125</v>
      </c>
      <c r="B1412" s="98">
        <v>2013</v>
      </c>
      <c r="C1412" s="98">
        <v>10.489850000000001</v>
      </c>
    </row>
    <row r="1413" spans="1:3" x14ac:dyDescent="0.3">
      <c r="A1413" s="98" t="s">
        <v>125</v>
      </c>
      <c r="B1413" s="98">
        <v>2014</v>
      </c>
      <c r="C1413" s="98">
        <v>11.58095</v>
      </c>
    </row>
    <row r="1414" spans="1:3" x14ac:dyDescent="0.3">
      <c r="A1414" s="98" t="s">
        <v>125</v>
      </c>
      <c r="B1414" s="98">
        <v>2015</v>
      </c>
      <c r="C1414" s="98">
        <v>15.545</v>
      </c>
    </row>
    <row r="1415" spans="1:3" x14ac:dyDescent="0.3">
      <c r="A1415" s="98" t="s">
        <v>125</v>
      </c>
      <c r="B1415" s="98">
        <v>2016</v>
      </c>
      <c r="C1415" s="98">
        <v>13.68445</v>
      </c>
    </row>
    <row r="1416" spans="1:3" x14ac:dyDescent="0.3">
      <c r="A1416" s="98" t="s">
        <v>125</v>
      </c>
      <c r="B1416" s="98">
        <v>2017</v>
      </c>
      <c r="C1416" s="98">
        <v>12.315270999999999</v>
      </c>
    </row>
    <row r="1417" spans="1:3" x14ac:dyDescent="0.3">
      <c r="A1417" s="98" t="s">
        <v>125</v>
      </c>
      <c r="B1417" s="98">
        <v>2018</v>
      </c>
      <c r="C1417" s="98">
        <v>14.376657</v>
      </c>
    </row>
    <row r="1418" spans="1:3" x14ac:dyDescent="0.3">
      <c r="A1418" s="98" t="s">
        <v>125</v>
      </c>
      <c r="B1418" s="98">
        <v>2019</v>
      </c>
      <c r="C1418" s="98">
        <v>14.0623</v>
      </c>
    </row>
    <row r="1419" spans="1:3" x14ac:dyDescent="0.3">
      <c r="A1419" s="98" t="s">
        <v>125</v>
      </c>
      <c r="B1419" s="98">
        <v>2020</v>
      </c>
      <c r="C1419" s="98">
        <v>14.596500000000001</v>
      </c>
    </row>
    <row r="1420" spans="1:3" x14ac:dyDescent="0.3">
      <c r="A1420" s="98" t="s">
        <v>125</v>
      </c>
      <c r="B1420" s="98">
        <v>2021</v>
      </c>
      <c r="C1420" s="98">
        <v>15.193</v>
      </c>
    </row>
    <row r="1421" spans="1:3" x14ac:dyDescent="0.3">
      <c r="A1421" s="98" t="s">
        <v>125</v>
      </c>
      <c r="B1421" s="98">
        <v>2022</v>
      </c>
      <c r="C1421" s="98">
        <v>17.114000000000001</v>
      </c>
    </row>
    <row r="1422" spans="1:3" x14ac:dyDescent="0.3">
      <c r="A1422" s="98" t="s">
        <v>126</v>
      </c>
      <c r="B1422" s="98">
        <v>2001</v>
      </c>
      <c r="C1422" s="98">
        <v>8.5582999999999991</v>
      </c>
    </row>
    <row r="1423" spans="1:3" x14ac:dyDescent="0.3">
      <c r="A1423" s="98" t="s">
        <v>126</v>
      </c>
      <c r="B1423" s="98">
        <v>2002</v>
      </c>
      <c r="C1423" s="98">
        <v>8.5808999999999997</v>
      </c>
    </row>
    <row r="1424" spans="1:3" x14ac:dyDescent="0.3">
      <c r="A1424" s="98" t="s">
        <v>126</v>
      </c>
      <c r="B1424" s="98">
        <v>2003</v>
      </c>
      <c r="C1424" s="98">
        <v>8.6205999999999996</v>
      </c>
    </row>
    <row r="1425" spans="1:3" x14ac:dyDescent="0.3">
      <c r="A1425" s="98" t="s">
        <v>126</v>
      </c>
      <c r="B1425" s="98">
        <v>2004</v>
      </c>
      <c r="C1425" s="98">
        <v>8.6518999999999995</v>
      </c>
    </row>
    <row r="1426" spans="1:3" x14ac:dyDescent="0.3">
      <c r="A1426" s="98" t="s">
        <v>126</v>
      </c>
      <c r="B1426" s="98">
        <v>2005</v>
      </c>
      <c r="C1426" s="98">
        <v>8.6812000000000005</v>
      </c>
    </row>
    <row r="1427" spans="1:3" x14ac:dyDescent="0.3">
      <c r="A1427" s="98" t="s">
        <v>126</v>
      </c>
      <c r="B1427" s="98">
        <v>2006</v>
      </c>
      <c r="C1427" s="98">
        <v>8.7757000000000005</v>
      </c>
    </row>
    <row r="1428" spans="1:3" x14ac:dyDescent="0.3">
      <c r="A1428" s="98" t="s">
        <v>126</v>
      </c>
      <c r="B1428" s="98">
        <v>2007</v>
      </c>
      <c r="C1428" s="98">
        <v>9.2006999999999994</v>
      </c>
    </row>
    <row r="1429" spans="1:3" x14ac:dyDescent="0.3">
      <c r="A1429" s="98" t="s">
        <v>126</v>
      </c>
      <c r="B1429" s="98">
        <v>2008</v>
      </c>
      <c r="C1429" s="98">
        <v>9.9550999999999998</v>
      </c>
    </row>
    <row r="1430" spans="1:3" x14ac:dyDescent="0.3">
      <c r="A1430" s="98" t="s">
        <v>126</v>
      </c>
      <c r="B1430" s="98">
        <v>2009</v>
      </c>
      <c r="C1430" s="98">
        <v>12.6416</v>
      </c>
    </row>
    <row r="1431" spans="1:3" x14ac:dyDescent="0.3">
      <c r="A1431" s="98" t="s">
        <v>126</v>
      </c>
      <c r="B1431" s="98">
        <v>2010</v>
      </c>
      <c r="C1431" s="98">
        <v>16.550799999999999</v>
      </c>
    </row>
    <row r="1432" spans="1:3" x14ac:dyDescent="0.3">
      <c r="A1432" s="98" t="s">
        <v>126</v>
      </c>
      <c r="B1432" s="98">
        <v>2011</v>
      </c>
      <c r="C1432" s="98">
        <v>17.207999999999998</v>
      </c>
    </row>
    <row r="1433" spans="1:3" x14ac:dyDescent="0.3">
      <c r="A1433" s="98" t="s">
        <v>126</v>
      </c>
      <c r="B1433" s="98">
        <v>2012</v>
      </c>
      <c r="C1433" s="98">
        <v>18.1843</v>
      </c>
    </row>
    <row r="1434" spans="1:3" x14ac:dyDescent="0.3">
      <c r="A1434" s="98" t="s">
        <v>126</v>
      </c>
      <c r="B1434" s="98">
        <v>2013</v>
      </c>
      <c r="C1434" s="98">
        <v>19.058700000000002</v>
      </c>
    </row>
    <row r="1435" spans="1:3" x14ac:dyDescent="0.3">
      <c r="A1435" s="98" t="s">
        <v>126</v>
      </c>
      <c r="B1435" s="98">
        <v>2014</v>
      </c>
      <c r="C1435" s="98">
        <v>20.102399999999999</v>
      </c>
    </row>
    <row r="1436" spans="1:3" x14ac:dyDescent="0.3">
      <c r="A1436" s="98" t="s">
        <v>126</v>
      </c>
      <c r="B1436" s="98">
        <v>2015</v>
      </c>
      <c r="C1436" s="98">
        <v>21.0777</v>
      </c>
    </row>
    <row r="1437" spans="1:3" x14ac:dyDescent="0.3">
      <c r="A1437" s="98" t="s">
        <v>126</v>
      </c>
      <c r="B1437" s="98">
        <v>2016</v>
      </c>
      <c r="C1437" s="98">
        <v>22.410399999999999</v>
      </c>
    </row>
    <row r="1438" spans="1:3" x14ac:dyDescent="0.3">
      <c r="A1438" s="98" t="s">
        <v>126</v>
      </c>
      <c r="B1438" s="98">
        <v>2017</v>
      </c>
      <c r="C1438" s="98">
        <v>27.205100000000002</v>
      </c>
    </row>
    <row r="1439" spans="1:3" x14ac:dyDescent="0.3">
      <c r="A1439" s="98" t="s">
        <v>126</v>
      </c>
      <c r="B1439" s="98">
        <v>2018</v>
      </c>
      <c r="C1439" s="98">
        <v>28.0398</v>
      </c>
    </row>
    <row r="1440" spans="1:3" x14ac:dyDescent="0.3">
      <c r="A1440" s="98" t="s">
        <v>126</v>
      </c>
      <c r="B1440" s="98">
        <v>2019</v>
      </c>
      <c r="C1440" s="98">
        <v>31.804099999999998</v>
      </c>
    </row>
    <row r="1441" spans="1:3" x14ac:dyDescent="0.3">
      <c r="A1441" s="98" t="s">
        <v>126</v>
      </c>
      <c r="B1441" s="98">
        <v>2020</v>
      </c>
      <c r="C1441" s="98">
        <v>39.180900000000001</v>
      </c>
    </row>
    <row r="1442" spans="1:3" x14ac:dyDescent="0.3">
      <c r="A1442" s="98" t="s">
        <v>126</v>
      </c>
      <c r="B1442" s="98">
        <v>2021</v>
      </c>
      <c r="C1442" s="98">
        <v>49.193600000000004</v>
      </c>
    </row>
    <row r="1443" spans="1:3" x14ac:dyDescent="0.3">
      <c r="A1443" s="98" t="s">
        <v>126</v>
      </c>
      <c r="B1443" s="98">
        <v>2022</v>
      </c>
    </row>
    <row r="1444" spans="1:3" x14ac:dyDescent="0.3">
      <c r="A1444" s="98" t="s">
        <v>127</v>
      </c>
      <c r="B1444" s="98">
        <v>2001</v>
      </c>
      <c r="C1444" s="98">
        <v>1.1346874</v>
      </c>
    </row>
    <row r="1445" spans="1:3" x14ac:dyDescent="0.3">
      <c r="A1445" s="98" t="s">
        <v>127</v>
      </c>
      <c r="B1445" s="98">
        <v>2002</v>
      </c>
      <c r="C1445" s="98">
        <v>0.95356154999999998</v>
      </c>
    </row>
    <row r="1446" spans="1:3" x14ac:dyDescent="0.3">
      <c r="A1446" s="98" t="s">
        <v>127</v>
      </c>
      <c r="B1446" s="98">
        <v>2003</v>
      </c>
      <c r="C1446" s="98">
        <v>0.79176564000000005</v>
      </c>
    </row>
    <row r="1447" spans="1:3" x14ac:dyDescent="0.3">
      <c r="A1447" s="98" t="s">
        <v>127</v>
      </c>
      <c r="B1447" s="98">
        <v>2004</v>
      </c>
      <c r="C1447" s="98">
        <v>0.73416049000000005</v>
      </c>
    </row>
    <row r="1448" spans="1:3" x14ac:dyDescent="0.3">
      <c r="A1448" s="98" t="s">
        <v>127</v>
      </c>
      <c r="B1448" s="98">
        <v>2005</v>
      </c>
      <c r="C1448" s="98">
        <v>0.84767314000000005</v>
      </c>
    </row>
    <row r="1449" spans="1:3" x14ac:dyDescent="0.3">
      <c r="A1449" s="98" t="s">
        <v>127</v>
      </c>
      <c r="B1449" s="98">
        <v>2006</v>
      </c>
      <c r="C1449" s="98">
        <v>0.75930143999999999</v>
      </c>
    </row>
    <row r="1450" spans="1:3" x14ac:dyDescent="0.3">
      <c r="A1450" s="98" t="s">
        <v>127</v>
      </c>
      <c r="B1450" s="98">
        <v>2007</v>
      </c>
      <c r="C1450" s="98">
        <v>0.67930168000000002</v>
      </c>
    </row>
    <row r="1451" spans="1:3" x14ac:dyDescent="0.3">
      <c r="A1451" s="98" t="s">
        <v>127</v>
      </c>
      <c r="B1451" s="98">
        <v>2008</v>
      </c>
      <c r="C1451" s="98">
        <v>0.71854565999999997</v>
      </c>
    </row>
    <row r="1452" spans="1:3" x14ac:dyDescent="0.3">
      <c r="A1452" s="98" t="s">
        <v>127</v>
      </c>
      <c r="B1452" s="98">
        <v>2009</v>
      </c>
      <c r="C1452" s="98">
        <v>0.69415521000000002</v>
      </c>
    </row>
    <row r="1453" spans="1:3" x14ac:dyDescent="0.3">
      <c r="A1453" s="98" t="s">
        <v>127</v>
      </c>
      <c r="B1453" s="98">
        <v>2010</v>
      </c>
      <c r="C1453" s="98">
        <v>0.74839096000000005</v>
      </c>
    </row>
    <row r="1454" spans="1:3" x14ac:dyDescent="0.3">
      <c r="A1454" s="98" t="s">
        <v>127</v>
      </c>
      <c r="B1454" s="98">
        <v>2011</v>
      </c>
      <c r="C1454" s="98">
        <v>0.77285725000000005</v>
      </c>
    </row>
    <row r="1455" spans="1:3" x14ac:dyDescent="0.3">
      <c r="A1455" s="98" t="s">
        <v>127</v>
      </c>
      <c r="B1455" s="98">
        <v>2012</v>
      </c>
      <c r="C1455" s="98">
        <v>0.75792026999999995</v>
      </c>
    </row>
    <row r="1456" spans="1:3" x14ac:dyDescent="0.3">
      <c r="A1456" s="98" t="s">
        <v>127</v>
      </c>
      <c r="B1456" s="98">
        <v>2013</v>
      </c>
      <c r="C1456" s="98">
        <v>0.72511057999999995</v>
      </c>
    </row>
    <row r="1457" spans="1:3" x14ac:dyDescent="0.3">
      <c r="A1457" s="98" t="s">
        <v>127</v>
      </c>
      <c r="B1457" s="98">
        <v>2014</v>
      </c>
      <c r="C1457" s="98">
        <v>0.82365538000000005</v>
      </c>
    </row>
    <row r="1458" spans="1:3" x14ac:dyDescent="0.3">
      <c r="A1458" s="98" t="s">
        <v>127</v>
      </c>
      <c r="B1458" s="98">
        <v>2015</v>
      </c>
      <c r="C1458" s="98">
        <v>0.91852668000000004</v>
      </c>
    </row>
    <row r="1459" spans="1:3" x14ac:dyDescent="0.3">
      <c r="A1459" s="98" t="s">
        <v>127</v>
      </c>
      <c r="B1459" s="98">
        <v>2016</v>
      </c>
      <c r="C1459" s="98">
        <v>0.94867659999999998</v>
      </c>
    </row>
    <row r="1460" spans="1:3" x14ac:dyDescent="0.3">
      <c r="A1460" s="98" t="s">
        <v>127</v>
      </c>
      <c r="B1460" s="98">
        <v>2017</v>
      </c>
      <c r="C1460" s="98">
        <v>0.83381972999999998</v>
      </c>
    </row>
    <row r="1461" spans="1:3" x14ac:dyDescent="0.3">
      <c r="A1461" s="98" t="s">
        <v>127</v>
      </c>
      <c r="B1461" s="98">
        <v>2018</v>
      </c>
      <c r="C1461" s="98">
        <v>0.87336245000000001</v>
      </c>
    </row>
    <row r="1462" spans="1:3" x14ac:dyDescent="0.3">
      <c r="A1462" s="98" t="s">
        <v>127</v>
      </c>
      <c r="B1462" s="98">
        <v>2019</v>
      </c>
      <c r="C1462" s="98">
        <v>0.89015489000000003</v>
      </c>
    </row>
    <row r="1463" spans="1:3" x14ac:dyDescent="0.3">
      <c r="A1463" s="98" t="s">
        <v>127</v>
      </c>
      <c r="B1463" s="98">
        <v>2020</v>
      </c>
      <c r="C1463" s="98">
        <v>0.81492951000000002</v>
      </c>
    </row>
    <row r="1464" spans="1:3" x14ac:dyDescent="0.3">
      <c r="A1464" s="98" t="s">
        <v>127</v>
      </c>
      <c r="B1464" s="98">
        <v>2021</v>
      </c>
      <c r="C1464" s="98">
        <v>0.88292424999999997</v>
      </c>
    </row>
    <row r="1465" spans="1:3" x14ac:dyDescent="0.3">
      <c r="A1465" s="98" t="s">
        <v>127</v>
      </c>
      <c r="B1465" s="98">
        <v>2022</v>
      </c>
      <c r="C1465" s="98">
        <v>0.93755860000000002</v>
      </c>
    </row>
    <row r="1466" spans="1:3" x14ac:dyDescent="0.3">
      <c r="A1466" s="98" t="s">
        <v>128</v>
      </c>
      <c r="B1466" s="98">
        <v>2001</v>
      </c>
      <c r="C1466" s="98">
        <v>8.4094999999999995</v>
      </c>
    </row>
    <row r="1467" spans="1:3" x14ac:dyDescent="0.3">
      <c r="A1467" s="98" t="s">
        <v>128</v>
      </c>
      <c r="B1467" s="98">
        <v>2002</v>
      </c>
      <c r="C1467" s="98">
        <v>7.0822000000000003</v>
      </c>
    </row>
    <row r="1468" spans="1:3" x14ac:dyDescent="0.3">
      <c r="A1468" s="98" t="s">
        <v>128</v>
      </c>
      <c r="B1468" s="98">
        <v>2003</v>
      </c>
      <c r="C1468" s="98">
        <v>5.9576000000000002</v>
      </c>
    </row>
    <row r="1469" spans="1:3" x14ac:dyDescent="0.3">
      <c r="A1469" s="98" t="s">
        <v>128</v>
      </c>
      <c r="B1469" s="98">
        <v>2004</v>
      </c>
      <c r="C1469" s="98">
        <v>5.4676</v>
      </c>
    </row>
    <row r="1470" spans="1:3" x14ac:dyDescent="0.3">
      <c r="A1470" s="98" t="s">
        <v>128</v>
      </c>
      <c r="B1470" s="98">
        <v>2005</v>
      </c>
      <c r="C1470" s="98">
        <v>6.3240999999999996</v>
      </c>
    </row>
    <row r="1471" spans="1:3" x14ac:dyDescent="0.3">
      <c r="A1471" s="98" t="s">
        <v>128</v>
      </c>
      <c r="B1471" s="98">
        <v>2006</v>
      </c>
      <c r="C1471" s="98">
        <v>5.6614000000000004</v>
      </c>
    </row>
    <row r="1472" spans="1:3" x14ac:dyDescent="0.3">
      <c r="A1472" s="98" t="s">
        <v>128</v>
      </c>
      <c r="B1472" s="98">
        <v>2007</v>
      </c>
      <c r="C1472" s="98">
        <v>5.0753000000000004</v>
      </c>
    </row>
    <row r="1473" spans="1:3" x14ac:dyDescent="0.3">
      <c r="A1473" s="98" t="s">
        <v>128</v>
      </c>
      <c r="B1473" s="98">
        <v>2008</v>
      </c>
      <c r="C1473" s="98">
        <v>5.2849000000000004</v>
      </c>
    </row>
    <row r="1474" spans="1:3" x14ac:dyDescent="0.3">
      <c r="A1474" s="98" t="s">
        <v>128</v>
      </c>
      <c r="B1474" s="98">
        <v>2009</v>
      </c>
      <c r="C1474" s="98">
        <v>5.1901000000000002</v>
      </c>
    </row>
    <row r="1475" spans="1:3" x14ac:dyDescent="0.3">
      <c r="A1475" s="98" t="s">
        <v>128</v>
      </c>
      <c r="B1475" s="98">
        <v>2010</v>
      </c>
      <c r="C1475" s="98">
        <v>5.6132999999999997</v>
      </c>
    </row>
    <row r="1476" spans="1:3" x14ac:dyDescent="0.3">
      <c r="A1476" s="98" t="s">
        <v>128</v>
      </c>
      <c r="B1476" s="98">
        <v>2011</v>
      </c>
      <c r="C1476" s="98">
        <v>5.7455999999999996</v>
      </c>
    </row>
    <row r="1477" spans="1:3" x14ac:dyDescent="0.3">
      <c r="A1477" s="98" t="s">
        <v>128</v>
      </c>
      <c r="B1477" s="98">
        <v>2012</v>
      </c>
      <c r="C1477" s="98">
        <v>5.6590999999999996</v>
      </c>
    </row>
    <row r="1478" spans="1:3" x14ac:dyDescent="0.3">
      <c r="A1478" s="98" t="s">
        <v>128</v>
      </c>
      <c r="B1478" s="98">
        <v>2013</v>
      </c>
      <c r="C1478" s="98">
        <v>5.4127000000000001</v>
      </c>
    </row>
    <row r="1479" spans="1:3" x14ac:dyDescent="0.3">
      <c r="A1479" s="98" t="s">
        <v>128</v>
      </c>
      <c r="B1479" s="98">
        <v>2014</v>
      </c>
      <c r="C1479" s="98">
        <v>6.1214000000000004</v>
      </c>
    </row>
    <row r="1480" spans="1:3" x14ac:dyDescent="0.3">
      <c r="A1480" s="98" t="s">
        <v>128</v>
      </c>
      <c r="B1480" s="98">
        <v>2015</v>
      </c>
      <c r="C1480" s="98">
        <v>6.83</v>
      </c>
    </row>
    <row r="1481" spans="1:3" x14ac:dyDescent="0.3">
      <c r="A1481" s="98" t="s">
        <v>128</v>
      </c>
      <c r="B1481" s="98">
        <v>2016</v>
      </c>
      <c r="C1481" s="98">
        <v>7.0528000000000004</v>
      </c>
    </row>
    <row r="1482" spans="1:3" x14ac:dyDescent="0.3">
      <c r="A1482" s="98" t="s">
        <v>128</v>
      </c>
      <c r="B1482" s="98">
        <v>2017</v>
      </c>
    </row>
    <row r="1483" spans="1:3" x14ac:dyDescent="0.3">
      <c r="A1483" s="98" t="s">
        <v>128</v>
      </c>
      <c r="B1483" s="98">
        <v>2018</v>
      </c>
    </row>
    <row r="1484" spans="1:3" x14ac:dyDescent="0.3">
      <c r="A1484" s="98" t="s">
        <v>128</v>
      </c>
      <c r="B1484" s="98">
        <v>2019</v>
      </c>
    </row>
    <row r="1485" spans="1:3" x14ac:dyDescent="0.3">
      <c r="A1485" s="98" t="s">
        <v>128</v>
      </c>
      <c r="B1485" s="98">
        <v>2020</v>
      </c>
    </row>
    <row r="1486" spans="1:3" x14ac:dyDescent="0.3">
      <c r="A1486" s="98" t="s">
        <v>128</v>
      </c>
      <c r="B1486" s="98">
        <v>2021</v>
      </c>
    </row>
    <row r="1487" spans="1:3" x14ac:dyDescent="0.3">
      <c r="A1487" s="98" t="s">
        <v>128</v>
      </c>
      <c r="B1487" s="98">
        <v>2022</v>
      </c>
    </row>
    <row r="1488" spans="1:3" x14ac:dyDescent="0.3">
      <c r="A1488" s="98" t="s">
        <v>129</v>
      </c>
      <c r="B1488" s="98">
        <v>2001</v>
      </c>
      <c r="C1488" s="98">
        <v>2.3089</v>
      </c>
    </row>
    <row r="1489" spans="1:3" x14ac:dyDescent="0.3">
      <c r="A1489" s="98" t="s">
        <v>129</v>
      </c>
      <c r="B1489" s="98">
        <v>2002</v>
      </c>
      <c r="C1489" s="98">
        <v>2.0648</v>
      </c>
    </row>
    <row r="1490" spans="1:3" x14ac:dyDescent="0.3">
      <c r="A1490" s="98" t="s">
        <v>129</v>
      </c>
      <c r="B1490" s="98">
        <v>2003</v>
      </c>
      <c r="C1490" s="98">
        <v>1.7220595999999999</v>
      </c>
    </row>
    <row r="1491" spans="1:3" x14ac:dyDescent="0.3">
      <c r="A1491" s="98" t="s">
        <v>129</v>
      </c>
      <c r="B1491" s="98">
        <v>2004</v>
      </c>
      <c r="C1491" s="98">
        <v>1.6450073999999999</v>
      </c>
    </row>
    <row r="1492" spans="1:3" x14ac:dyDescent="0.3">
      <c r="A1492" s="98" t="s">
        <v>129</v>
      </c>
      <c r="B1492" s="98">
        <v>2005</v>
      </c>
      <c r="C1492" s="98">
        <v>1.7448961999999999</v>
      </c>
    </row>
    <row r="1493" spans="1:3" x14ac:dyDescent="0.3">
      <c r="A1493" s="98" t="s">
        <v>129</v>
      </c>
      <c r="B1493" s="98">
        <v>2006</v>
      </c>
      <c r="C1493" s="98">
        <v>1.6641703999999999</v>
      </c>
    </row>
    <row r="1494" spans="1:3" x14ac:dyDescent="0.3">
      <c r="A1494" s="98" t="s">
        <v>129</v>
      </c>
      <c r="B1494" s="98">
        <v>2007</v>
      </c>
      <c r="C1494" s="98">
        <v>1.5511090000000001</v>
      </c>
    </row>
    <row r="1495" spans="1:3" x14ac:dyDescent="0.3">
      <c r="A1495" s="98" t="s">
        <v>129</v>
      </c>
      <c r="B1495" s="98">
        <v>2008</v>
      </c>
      <c r="C1495" s="98">
        <v>1.7639795</v>
      </c>
    </row>
    <row r="1496" spans="1:3" x14ac:dyDescent="0.3">
      <c r="A1496" s="98" t="s">
        <v>129</v>
      </c>
      <c r="B1496" s="98">
        <v>2009</v>
      </c>
      <c r="C1496" s="98">
        <v>1.9286403000000001</v>
      </c>
    </row>
    <row r="1497" spans="1:3" x14ac:dyDescent="0.3">
      <c r="A1497" s="98" t="s">
        <v>129</v>
      </c>
      <c r="B1497" s="98">
        <v>2010</v>
      </c>
      <c r="C1497" s="98">
        <v>1.8195051</v>
      </c>
    </row>
    <row r="1498" spans="1:3" x14ac:dyDescent="0.3">
      <c r="A1498" s="98" t="s">
        <v>129</v>
      </c>
      <c r="B1498" s="98">
        <v>2011</v>
      </c>
      <c r="C1498" s="98">
        <v>1.8204988</v>
      </c>
    </row>
    <row r="1499" spans="1:3" x14ac:dyDescent="0.3">
      <c r="A1499" s="98" t="s">
        <v>129</v>
      </c>
      <c r="B1499" s="98">
        <v>2012</v>
      </c>
      <c r="C1499" s="98">
        <v>1.7873101</v>
      </c>
    </row>
    <row r="1500" spans="1:3" x14ac:dyDescent="0.3">
      <c r="A1500" s="98" t="s">
        <v>129</v>
      </c>
      <c r="B1500" s="98">
        <v>2013</v>
      </c>
      <c r="C1500" s="98">
        <v>1.8978999999999999</v>
      </c>
    </row>
    <row r="1501" spans="1:3" x14ac:dyDescent="0.3">
      <c r="A1501" s="98" t="s">
        <v>129</v>
      </c>
      <c r="B1501" s="98">
        <v>2014</v>
      </c>
      <c r="C1501" s="98">
        <v>1.9877</v>
      </c>
    </row>
    <row r="1502" spans="1:3" x14ac:dyDescent="0.3">
      <c r="A1502" s="98" t="s">
        <v>129</v>
      </c>
      <c r="B1502" s="98">
        <v>2015</v>
      </c>
      <c r="C1502" s="98">
        <v>2.1272000000000002</v>
      </c>
    </row>
    <row r="1503" spans="1:3" x14ac:dyDescent="0.3">
      <c r="A1503" s="98" t="s">
        <v>129</v>
      </c>
      <c r="B1503" s="98">
        <v>2016</v>
      </c>
      <c r="C1503" s="98">
        <v>2.1299000000000001</v>
      </c>
    </row>
    <row r="1504" spans="1:3" x14ac:dyDescent="0.3">
      <c r="A1504" s="98" t="s">
        <v>129</v>
      </c>
      <c r="B1504" s="98">
        <v>2017</v>
      </c>
      <c r="C1504" s="98">
        <v>2.0516999999999999</v>
      </c>
    </row>
    <row r="1505" spans="1:3" x14ac:dyDescent="0.3">
      <c r="A1505" s="98" t="s">
        <v>129</v>
      </c>
      <c r="B1505" s="98">
        <v>2018</v>
      </c>
      <c r="C1505" s="98">
        <v>2.1417999999999999</v>
      </c>
    </row>
    <row r="1506" spans="1:3" x14ac:dyDescent="0.3">
      <c r="A1506" s="98" t="s">
        <v>129</v>
      </c>
      <c r="B1506" s="98">
        <v>2019</v>
      </c>
      <c r="C1506" s="98">
        <v>2.1444999999999999</v>
      </c>
    </row>
    <row r="1507" spans="1:3" x14ac:dyDescent="0.3">
      <c r="A1507" s="98" t="s">
        <v>129</v>
      </c>
      <c r="B1507" s="98">
        <v>2020</v>
      </c>
      <c r="C1507" s="98">
        <v>2.0392000000000001</v>
      </c>
    </row>
    <row r="1508" spans="1:3" x14ac:dyDescent="0.3">
      <c r="A1508" s="98" t="s">
        <v>129</v>
      </c>
      <c r="B1508" s="98">
        <v>2021</v>
      </c>
      <c r="C1508" s="98">
        <v>2.1177000000000001</v>
      </c>
    </row>
    <row r="1509" spans="1:3" x14ac:dyDescent="0.3">
      <c r="A1509" s="98" t="s">
        <v>129</v>
      </c>
      <c r="B1509" s="98">
        <v>2022</v>
      </c>
      <c r="C1509" s="98">
        <v>2.2168000000000001</v>
      </c>
    </row>
    <row r="1510" spans="1:3" x14ac:dyDescent="0.3">
      <c r="A1510" s="98" t="s">
        <v>130</v>
      </c>
      <c r="B1510" s="98">
        <v>2001</v>
      </c>
      <c r="C1510" s="98">
        <v>135.40418</v>
      </c>
    </row>
    <row r="1511" spans="1:3" x14ac:dyDescent="0.3">
      <c r="A1511" s="98" t="s">
        <v>130</v>
      </c>
      <c r="B1511" s="98">
        <v>2002</v>
      </c>
      <c r="C1511" s="98">
        <v>113.79012</v>
      </c>
    </row>
    <row r="1512" spans="1:3" x14ac:dyDescent="0.3">
      <c r="A1512" s="98" t="s">
        <v>130</v>
      </c>
      <c r="B1512" s="98">
        <v>2003</v>
      </c>
      <c r="C1512" s="98">
        <v>94.482740000000007</v>
      </c>
    </row>
    <row r="1513" spans="1:3" x14ac:dyDescent="0.3">
      <c r="A1513" s="98" t="s">
        <v>130</v>
      </c>
      <c r="B1513" s="98">
        <v>2004</v>
      </c>
      <c r="C1513" s="98">
        <v>87.608619000000004</v>
      </c>
    </row>
    <row r="1514" spans="1:3" x14ac:dyDescent="0.3">
      <c r="A1514" s="98" t="s">
        <v>130</v>
      </c>
      <c r="B1514" s="98">
        <v>2005</v>
      </c>
      <c r="C1514" s="98">
        <v>101.15428</v>
      </c>
    </row>
    <row r="1515" spans="1:3" x14ac:dyDescent="0.3">
      <c r="A1515" s="98" t="s">
        <v>130</v>
      </c>
      <c r="B1515" s="98">
        <v>2006</v>
      </c>
      <c r="C1515" s="98">
        <v>90.608732000000003</v>
      </c>
    </row>
    <row r="1516" spans="1:3" x14ac:dyDescent="0.3">
      <c r="A1516" s="98" t="s">
        <v>130</v>
      </c>
      <c r="B1516" s="98">
        <v>2007</v>
      </c>
      <c r="C1516" s="98">
        <v>81.062224000000001</v>
      </c>
    </row>
    <row r="1517" spans="1:3" x14ac:dyDescent="0.3">
      <c r="A1517" s="98" t="s">
        <v>130</v>
      </c>
      <c r="B1517" s="98">
        <v>2008</v>
      </c>
      <c r="C1517" s="98">
        <v>85.745276000000004</v>
      </c>
    </row>
    <row r="1518" spans="1:3" x14ac:dyDescent="0.3">
      <c r="A1518" s="98" t="s">
        <v>130</v>
      </c>
      <c r="B1518" s="98">
        <v>2009</v>
      </c>
      <c r="C1518" s="98">
        <v>82.834721999999999</v>
      </c>
    </row>
    <row r="1519" spans="1:3" x14ac:dyDescent="0.3">
      <c r="A1519" s="98" t="s">
        <v>130</v>
      </c>
      <c r="B1519" s="98">
        <v>2010</v>
      </c>
      <c r="C1519" s="98">
        <v>89.306764999999999</v>
      </c>
    </row>
    <row r="1520" spans="1:3" x14ac:dyDescent="0.3">
      <c r="A1520" s="98" t="s">
        <v>130</v>
      </c>
      <c r="B1520" s="98">
        <v>2011</v>
      </c>
      <c r="C1520" s="98">
        <v>92.226370000000003</v>
      </c>
    </row>
    <row r="1521" spans="1:3" x14ac:dyDescent="0.3">
      <c r="A1521" s="98" t="s">
        <v>130</v>
      </c>
      <c r="B1521" s="98">
        <v>2012</v>
      </c>
      <c r="C1521" s="98">
        <v>90.443914000000007</v>
      </c>
    </row>
    <row r="1522" spans="1:3" x14ac:dyDescent="0.3">
      <c r="A1522" s="98" t="s">
        <v>130</v>
      </c>
      <c r="B1522" s="98">
        <v>2013</v>
      </c>
      <c r="C1522" s="98">
        <v>86.528677999999999</v>
      </c>
    </row>
    <row r="1523" spans="1:3" x14ac:dyDescent="0.3">
      <c r="A1523" s="98" t="s">
        <v>130</v>
      </c>
      <c r="B1523" s="98">
        <v>2014</v>
      </c>
      <c r="C1523" s="98">
        <v>98.288196999999997</v>
      </c>
    </row>
    <row r="1524" spans="1:3" x14ac:dyDescent="0.3">
      <c r="A1524" s="98" t="s">
        <v>130</v>
      </c>
      <c r="B1524" s="98">
        <v>2015</v>
      </c>
      <c r="C1524" s="98">
        <v>109.60935000000001</v>
      </c>
    </row>
    <row r="1525" spans="1:3" x14ac:dyDescent="0.3">
      <c r="A1525" s="98" t="s">
        <v>130</v>
      </c>
      <c r="B1525" s="98">
        <v>2016</v>
      </c>
      <c r="C1525" s="98">
        <v>113.20719</v>
      </c>
    </row>
    <row r="1526" spans="1:3" x14ac:dyDescent="0.3">
      <c r="A1526" s="98" t="s">
        <v>130</v>
      </c>
      <c r="B1526" s="98">
        <v>2017</v>
      </c>
      <c r="C1526" s="98">
        <v>99.501125999999999</v>
      </c>
    </row>
    <row r="1527" spans="1:3" x14ac:dyDescent="0.3">
      <c r="A1527" s="98" t="s">
        <v>130</v>
      </c>
      <c r="B1527" s="98">
        <v>2018</v>
      </c>
      <c r="C1527" s="98">
        <v>104.21983</v>
      </c>
    </row>
    <row r="1528" spans="1:3" x14ac:dyDescent="0.3">
      <c r="A1528" s="98" t="s">
        <v>130</v>
      </c>
      <c r="B1528" s="98">
        <v>2019</v>
      </c>
      <c r="C1528" s="98">
        <v>106.22369999999999</v>
      </c>
    </row>
    <row r="1529" spans="1:3" x14ac:dyDescent="0.3">
      <c r="A1529" s="98" t="s">
        <v>130</v>
      </c>
      <c r="B1529" s="98">
        <v>2020</v>
      </c>
      <c r="C1529" s="98">
        <v>97.246924000000007</v>
      </c>
    </row>
    <row r="1530" spans="1:3" x14ac:dyDescent="0.3">
      <c r="A1530" s="98" t="s">
        <v>130</v>
      </c>
      <c r="B1530" s="98">
        <v>2021</v>
      </c>
      <c r="C1530" s="98">
        <v>105.36085</v>
      </c>
    </row>
    <row r="1531" spans="1:3" x14ac:dyDescent="0.3">
      <c r="A1531" s="98" t="s">
        <v>130</v>
      </c>
      <c r="B1531" s="98">
        <v>2022</v>
      </c>
      <c r="C1531" s="98">
        <v>111.88046</v>
      </c>
    </row>
    <row r="1532" spans="1:3" x14ac:dyDescent="0.3">
      <c r="A1532" s="98" t="s">
        <v>131</v>
      </c>
      <c r="B1532" s="98">
        <v>2001</v>
      </c>
      <c r="C1532" s="98">
        <v>744.30614000000003</v>
      </c>
    </row>
    <row r="1533" spans="1:3" x14ac:dyDescent="0.3">
      <c r="A1533" s="98" t="s">
        <v>131</v>
      </c>
      <c r="B1533" s="98">
        <v>2002</v>
      </c>
      <c r="C1533" s="98">
        <v>625.49537999999995</v>
      </c>
    </row>
    <row r="1534" spans="1:3" x14ac:dyDescent="0.3">
      <c r="A1534" s="98" t="s">
        <v>131</v>
      </c>
      <c r="B1534" s="98">
        <v>2003</v>
      </c>
      <c r="C1534" s="98">
        <v>519.36420999999996</v>
      </c>
    </row>
    <row r="1535" spans="1:3" x14ac:dyDescent="0.3">
      <c r="A1535" s="98" t="s">
        <v>131</v>
      </c>
      <c r="B1535" s="98">
        <v>2004</v>
      </c>
      <c r="C1535" s="98">
        <v>481.57771000000002</v>
      </c>
    </row>
    <row r="1536" spans="1:3" x14ac:dyDescent="0.3">
      <c r="A1536" s="98" t="s">
        <v>131</v>
      </c>
      <c r="B1536" s="98">
        <v>2005</v>
      </c>
      <c r="C1536" s="98">
        <v>556.03713000000005</v>
      </c>
    </row>
    <row r="1537" spans="1:3" x14ac:dyDescent="0.3">
      <c r="A1537" s="98" t="s">
        <v>131</v>
      </c>
      <c r="B1537" s="98">
        <v>2006</v>
      </c>
      <c r="C1537" s="98">
        <v>498.06909999999999</v>
      </c>
    </row>
    <row r="1538" spans="1:3" x14ac:dyDescent="0.3">
      <c r="A1538" s="98" t="s">
        <v>131</v>
      </c>
      <c r="B1538" s="98">
        <v>2007</v>
      </c>
      <c r="C1538" s="98">
        <v>445.59269</v>
      </c>
    </row>
    <row r="1539" spans="1:3" x14ac:dyDescent="0.3">
      <c r="A1539" s="98" t="s">
        <v>131</v>
      </c>
      <c r="B1539" s="98">
        <v>2008</v>
      </c>
      <c r="C1539" s="98">
        <v>471.33506</v>
      </c>
    </row>
    <row r="1540" spans="1:3" x14ac:dyDescent="0.3">
      <c r="A1540" s="98" t="s">
        <v>131</v>
      </c>
      <c r="B1540" s="98">
        <v>2009</v>
      </c>
      <c r="C1540" s="98">
        <v>455.33596999999997</v>
      </c>
    </row>
    <row r="1541" spans="1:3" x14ac:dyDescent="0.3">
      <c r="A1541" s="98" t="s">
        <v>131</v>
      </c>
      <c r="B1541" s="98">
        <v>2010</v>
      </c>
      <c r="C1541" s="98">
        <v>490.91228999999998</v>
      </c>
    </row>
    <row r="1542" spans="1:3" x14ac:dyDescent="0.3">
      <c r="A1542" s="98" t="s">
        <v>131</v>
      </c>
      <c r="B1542" s="98">
        <v>2011</v>
      </c>
      <c r="C1542" s="98">
        <v>506.96113000000003</v>
      </c>
    </row>
    <row r="1543" spans="1:3" x14ac:dyDescent="0.3">
      <c r="A1543" s="98" t="s">
        <v>131</v>
      </c>
      <c r="B1543" s="98">
        <v>2012</v>
      </c>
      <c r="C1543" s="98">
        <v>497.16309999999999</v>
      </c>
    </row>
    <row r="1544" spans="1:3" x14ac:dyDescent="0.3">
      <c r="A1544" s="98" t="s">
        <v>131</v>
      </c>
      <c r="B1544" s="98">
        <v>2013</v>
      </c>
      <c r="C1544" s="98">
        <v>475.64136000000002</v>
      </c>
    </row>
    <row r="1545" spans="1:3" x14ac:dyDescent="0.3">
      <c r="A1545" s="98" t="s">
        <v>131</v>
      </c>
      <c r="B1545" s="98">
        <v>2014</v>
      </c>
      <c r="C1545" s="98">
        <v>540.28251</v>
      </c>
    </row>
    <row r="1546" spans="1:3" x14ac:dyDescent="0.3">
      <c r="A1546" s="98" t="s">
        <v>131</v>
      </c>
      <c r="B1546" s="98">
        <v>2015</v>
      </c>
      <c r="C1546" s="98">
        <v>602.51400999999998</v>
      </c>
    </row>
    <row r="1547" spans="1:3" x14ac:dyDescent="0.3">
      <c r="A1547" s="98" t="s">
        <v>131</v>
      </c>
      <c r="B1547" s="98">
        <v>2016</v>
      </c>
      <c r="C1547" s="98">
        <v>622.29105000000004</v>
      </c>
    </row>
    <row r="1548" spans="1:3" x14ac:dyDescent="0.3">
      <c r="A1548" s="98" t="s">
        <v>131</v>
      </c>
      <c r="B1548" s="98">
        <v>2017</v>
      </c>
      <c r="C1548" s="98">
        <v>546.94988999999998</v>
      </c>
    </row>
    <row r="1549" spans="1:3" x14ac:dyDescent="0.3">
      <c r="A1549" s="98" t="s">
        <v>131</v>
      </c>
      <c r="B1549" s="98">
        <v>2018</v>
      </c>
      <c r="C1549" s="98">
        <v>572.88820999999996</v>
      </c>
    </row>
    <row r="1550" spans="1:3" x14ac:dyDescent="0.3">
      <c r="A1550" s="98" t="s">
        <v>131</v>
      </c>
      <c r="B1550" s="98">
        <v>2019</v>
      </c>
      <c r="C1550" s="98">
        <v>583.90332999999998</v>
      </c>
    </row>
    <row r="1551" spans="1:3" x14ac:dyDescent="0.3">
      <c r="A1551" s="98" t="s">
        <v>131</v>
      </c>
      <c r="B1551" s="98">
        <v>2020</v>
      </c>
      <c r="C1551" s="98">
        <v>534.55871999999999</v>
      </c>
    </row>
    <row r="1552" spans="1:3" x14ac:dyDescent="0.3">
      <c r="A1552" s="98" t="s">
        <v>131</v>
      </c>
      <c r="B1552" s="98">
        <v>2021</v>
      </c>
      <c r="C1552" s="98">
        <v>579.16034000000002</v>
      </c>
    </row>
    <row r="1553" spans="1:3" x14ac:dyDescent="0.3">
      <c r="A1553" s="98" t="s">
        <v>131</v>
      </c>
      <c r="B1553" s="98">
        <v>2022</v>
      </c>
      <c r="C1553" s="98">
        <v>614.99811999999997</v>
      </c>
    </row>
    <row r="1554" spans="1:3" x14ac:dyDescent="0.3">
      <c r="A1554" s="98" t="s">
        <v>132</v>
      </c>
      <c r="B1554" s="98">
        <v>2001</v>
      </c>
      <c r="C1554" s="98">
        <v>16.9313</v>
      </c>
    </row>
    <row r="1555" spans="1:3" x14ac:dyDescent="0.3">
      <c r="A1555" s="98" t="s">
        <v>132</v>
      </c>
      <c r="B1555" s="98">
        <v>2002</v>
      </c>
      <c r="C1555" s="98">
        <v>23.392399999999999</v>
      </c>
    </row>
    <row r="1556" spans="1:3" x14ac:dyDescent="0.3">
      <c r="A1556" s="98" t="s">
        <v>132</v>
      </c>
      <c r="B1556" s="98">
        <v>2003</v>
      </c>
      <c r="C1556" s="98">
        <v>30.957699999999999</v>
      </c>
    </row>
    <row r="1557" spans="1:3" x14ac:dyDescent="0.3">
      <c r="A1557" s="98" t="s">
        <v>132</v>
      </c>
      <c r="B1557" s="98">
        <v>2004</v>
      </c>
      <c r="C1557" s="98">
        <v>29.674299999999999</v>
      </c>
    </row>
    <row r="1558" spans="1:3" x14ac:dyDescent="0.3">
      <c r="A1558" s="98" t="s">
        <v>132</v>
      </c>
      <c r="B1558" s="98">
        <v>2005</v>
      </c>
      <c r="C1558" s="98">
        <v>28.134799999999998</v>
      </c>
    </row>
    <row r="1559" spans="1:3" x14ac:dyDescent="0.3">
      <c r="A1559" s="98" t="s">
        <v>132</v>
      </c>
      <c r="B1559" s="98">
        <v>2006</v>
      </c>
      <c r="C1559" s="98">
        <v>28.046900000000001</v>
      </c>
    </row>
    <row r="1560" spans="1:3" x14ac:dyDescent="0.3">
      <c r="A1560" s="98" t="s">
        <v>132</v>
      </c>
      <c r="B1560" s="98">
        <v>2007</v>
      </c>
      <c r="C1560" s="98">
        <v>22.539400000000001</v>
      </c>
    </row>
    <row r="1561" spans="1:3" x14ac:dyDescent="0.3">
      <c r="A1561" s="98" t="s">
        <v>132</v>
      </c>
      <c r="B1561" s="98">
        <v>2008</v>
      </c>
      <c r="C1561" s="98">
        <v>26.542200000000001</v>
      </c>
    </row>
    <row r="1562" spans="1:3" x14ac:dyDescent="0.3">
      <c r="A1562" s="98" t="s">
        <v>132</v>
      </c>
      <c r="B1562" s="98">
        <v>2009</v>
      </c>
      <c r="C1562" s="98">
        <v>26.9406</v>
      </c>
    </row>
    <row r="1563" spans="1:3" x14ac:dyDescent="0.3">
      <c r="A1563" s="98" t="s">
        <v>132</v>
      </c>
      <c r="B1563" s="98">
        <v>2010</v>
      </c>
      <c r="C1563" s="98">
        <v>28.389367</v>
      </c>
    </row>
    <row r="1564" spans="1:3" x14ac:dyDescent="0.3">
      <c r="A1564" s="98" t="s">
        <v>132</v>
      </c>
      <c r="B1564" s="98">
        <v>2011</v>
      </c>
      <c r="C1564" s="98">
        <v>30.24</v>
      </c>
    </row>
    <row r="1565" spans="1:3" x14ac:dyDescent="0.3">
      <c r="A1565" s="98" t="s">
        <v>132</v>
      </c>
      <c r="B1565" s="98">
        <v>2012</v>
      </c>
      <c r="C1565" s="98">
        <v>33.92</v>
      </c>
    </row>
    <row r="1566" spans="1:3" x14ac:dyDescent="0.3">
      <c r="A1566" s="98" t="s">
        <v>132</v>
      </c>
      <c r="B1566" s="98">
        <v>2013</v>
      </c>
      <c r="C1566" s="98">
        <v>37.909999999999997</v>
      </c>
    </row>
    <row r="1567" spans="1:3" x14ac:dyDescent="0.3">
      <c r="A1567" s="98" t="s">
        <v>132</v>
      </c>
      <c r="B1567" s="98">
        <v>2014</v>
      </c>
      <c r="C1567" s="98">
        <v>45.28</v>
      </c>
    </row>
    <row r="1568" spans="1:3" x14ac:dyDescent="0.3">
      <c r="A1568" s="98" t="s">
        <v>132</v>
      </c>
      <c r="B1568" s="98">
        <v>2015</v>
      </c>
      <c r="C1568" s="98">
        <v>39.770000000000003</v>
      </c>
    </row>
    <row r="1569" spans="1:3" x14ac:dyDescent="0.3">
      <c r="A1569" s="98" t="s">
        <v>132</v>
      </c>
      <c r="B1569" s="98">
        <v>2016</v>
      </c>
      <c r="C1569" s="98">
        <v>43.89</v>
      </c>
    </row>
    <row r="1570" spans="1:3" x14ac:dyDescent="0.3">
      <c r="A1570" s="98" t="s">
        <v>132</v>
      </c>
      <c r="B1570" s="98">
        <v>2017</v>
      </c>
      <c r="C1570" s="98">
        <v>47.622652000000002</v>
      </c>
    </row>
    <row r="1571" spans="1:3" x14ac:dyDescent="0.3">
      <c r="A1571" s="98" t="s">
        <v>132</v>
      </c>
      <c r="B1571" s="98">
        <v>2018</v>
      </c>
      <c r="C1571" s="98">
        <v>49.48</v>
      </c>
    </row>
    <row r="1572" spans="1:3" x14ac:dyDescent="0.3">
      <c r="A1572" s="98" t="s">
        <v>132</v>
      </c>
      <c r="B1572" s="98">
        <v>2019</v>
      </c>
      <c r="C1572" s="98">
        <v>51.1</v>
      </c>
    </row>
    <row r="1573" spans="1:3" x14ac:dyDescent="0.3">
      <c r="A1573" s="98" t="s">
        <v>132</v>
      </c>
      <c r="B1573" s="98">
        <v>2020</v>
      </c>
      <c r="C1573" s="98">
        <v>51.64</v>
      </c>
    </row>
    <row r="1574" spans="1:3" x14ac:dyDescent="0.3">
      <c r="A1574" s="98" t="s">
        <v>132</v>
      </c>
      <c r="B1574" s="98">
        <v>2021</v>
      </c>
      <c r="C1574" s="98">
        <v>52.61</v>
      </c>
    </row>
    <row r="1575" spans="1:3" x14ac:dyDescent="0.3">
      <c r="A1575" s="98" t="s">
        <v>132</v>
      </c>
      <c r="B1575" s="98">
        <v>2022</v>
      </c>
      <c r="C1575" s="98">
        <v>60.81</v>
      </c>
    </row>
    <row r="1576" spans="1:3" x14ac:dyDescent="0.3">
      <c r="A1576" s="98" t="s">
        <v>133</v>
      </c>
      <c r="B1576" s="98">
        <v>2001</v>
      </c>
      <c r="C1576" s="98">
        <v>2.06</v>
      </c>
    </row>
    <row r="1577" spans="1:3" x14ac:dyDescent="0.3">
      <c r="A1577" s="98" t="s">
        <v>133</v>
      </c>
      <c r="B1577" s="98">
        <v>2002</v>
      </c>
      <c r="C1577" s="98">
        <v>2.09</v>
      </c>
    </row>
    <row r="1578" spans="1:3" x14ac:dyDescent="0.3">
      <c r="A1578" s="98" t="s">
        <v>133</v>
      </c>
      <c r="B1578" s="98">
        <v>2003</v>
      </c>
      <c r="C1578" s="98">
        <v>2.0750000000000002</v>
      </c>
    </row>
    <row r="1579" spans="1:3" x14ac:dyDescent="0.3">
      <c r="A1579" s="98" t="s">
        <v>133</v>
      </c>
      <c r="B1579" s="98">
        <v>2004</v>
      </c>
      <c r="C1579" s="98">
        <v>1.825</v>
      </c>
    </row>
    <row r="1580" spans="1:3" x14ac:dyDescent="0.3">
      <c r="A1580" s="98" t="s">
        <v>133</v>
      </c>
      <c r="B1580" s="98">
        <v>2005</v>
      </c>
      <c r="C1580" s="98">
        <v>1.7925</v>
      </c>
    </row>
    <row r="1581" spans="1:3" x14ac:dyDescent="0.3">
      <c r="A1581" s="98" t="s">
        <v>133</v>
      </c>
      <c r="B1581" s="98">
        <v>2006</v>
      </c>
      <c r="C1581" s="98">
        <v>1.7135</v>
      </c>
    </row>
    <row r="1582" spans="1:3" x14ac:dyDescent="0.3">
      <c r="A1582" s="98" t="s">
        <v>133</v>
      </c>
      <c r="B1582" s="98">
        <v>2007</v>
      </c>
      <c r="C1582" s="98">
        <v>1.5915999999999999</v>
      </c>
    </row>
    <row r="1583" spans="1:3" x14ac:dyDescent="0.3">
      <c r="A1583" s="98" t="s">
        <v>133</v>
      </c>
      <c r="B1583" s="98">
        <v>2008</v>
      </c>
      <c r="C1583" s="98">
        <v>1.667</v>
      </c>
    </row>
    <row r="1584" spans="1:3" x14ac:dyDescent="0.3">
      <c r="A1584" s="98" t="s">
        <v>133</v>
      </c>
      <c r="B1584" s="98">
        <v>2009</v>
      </c>
      <c r="C1584" s="98">
        <v>1.6858</v>
      </c>
    </row>
    <row r="1585" spans="1:3" x14ac:dyDescent="0.3">
      <c r="A1585" s="98" t="s">
        <v>133</v>
      </c>
      <c r="B1585" s="98">
        <v>2010</v>
      </c>
      <c r="C1585" s="98">
        <v>1.7727999999999999</v>
      </c>
    </row>
    <row r="1586" spans="1:3" x14ac:dyDescent="0.3">
      <c r="A1586" s="98" t="s">
        <v>133</v>
      </c>
      <c r="B1586" s="98">
        <v>2011</v>
      </c>
      <c r="C1586" s="98">
        <v>1.6702999999999999</v>
      </c>
    </row>
    <row r="1587" spans="1:3" x14ac:dyDescent="0.3">
      <c r="A1587" s="98" t="s">
        <v>133</v>
      </c>
      <c r="B1587" s="98">
        <v>2012</v>
      </c>
      <c r="C1587" s="98">
        <v>1.6567000000000001</v>
      </c>
    </row>
    <row r="1588" spans="1:3" x14ac:dyDescent="0.3">
      <c r="A1588" s="98" t="s">
        <v>133</v>
      </c>
      <c r="B1588" s="98">
        <v>2013</v>
      </c>
      <c r="C1588" s="98">
        <v>1.7363</v>
      </c>
    </row>
    <row r="1589" spans="1:3" x14ac:dyDescent="0.3">
      <c r="A1589" s="98" t="s">
        <v>133</v>
      </c>
      <c r="B1589" s="98">
        <v>2014</v>
      </c>
      <c r="C1589" s="98">
        <v>1.8635999999999999</v>
      </c>
    </row>
    <row r="1590" spans="1:3" x14ac:dyDescent="0.3">
      <c r="A1590" s="98" t="s">
        <v>133</v>
      </c>
      <c r="B1590" s="98">
        <v>2015</v>
      </c>
      <c r="C1590" s="98">
        <v>2.3948999999999998</v>
      </c>
    </row>
    <row r="1591" spans="1:3" x14ac:dyDescent="0.3">
      <c r="A1591" s="98" t="s">
        <v>133</v>
      </c>
      <c r="B1591" s="98">
        <v>2016</v>
      </c>
      <c r="C1591" s="98">
        <v>2.6467999999999998</v>
      </c>
    </row>
    <row r="1592" spans="1:3" x14ac:dyDescent="0.3">
      <c r="A1592" s="98" t="s">
        <v>133</v>
      </c>
      <c r="B1592" s="98">
        <v>2017</v>
      </c>
      <c r="C1592" s="98">
        <v>2.5922000000000001</v>
      </c>
    </row>
    <row r="1593" spans="1:3" x14ac:dyDescent="0.3">
      <c r="A1593" s="98" t="s">
        <v>133</v>
      </c>
      <c r="B1593" s="98">
        <v>2018</v>
      </c>
      <c r="C1593" s="98">
        <v>2.6766000000000001</v>
      </c>
    </row>
    <row r="1594" spans="1:3" x14ac:dyDescent="0.3">
      <c r="A1594" s="98" t="s">
        <v>133</v>
      </c>
      <c r="B1594" s="98">
        <v>2019</v>
      </c>
      <c r="C1594" s="98">
        <v>2.8677000000000001</v>
      </c>
    </row>
    <row r="1595" spans="1:3" x14ac:dyDescent="0.3">
      <c r="A1595" s="98" t="s">
        <v>133</v>
      </c>
      <c r="B1595" s="98">
        <v>2020</v>
      </c>
      <c r="C1595" s="98">
        <v>3.2766000000000002</v>
      </c>
    </row>
    <row r="1596" spans="1:3" x14ac:dyDescent="0.3">
      <c r="A1596" s="98" t="s">
        <v>133</v>
      </c>
      <c r="B1596" s="98">
        <v>2021</v>
      </c>
      <c r="C1596" s="98">
        <v>3.0975999999999999</v>
      </c>
    </row>
    <row r="1597" spans="1:3" x14ac:dyDescent="0.3">
      <c r="A1597" s="98" t="s">
        <v>133</v>
      </c>
      <c r="B1597" s="98">
        <v>2022</v>
      </c>
      <c r="C1597" s="98">
        <v>2.702</v>
      </c>
    </row>
    <row r="1598" spans="1:3" x14ac:dyDescent="0.3">
      <c r="A1598" s="98" t="s">
        <v>134</v>
      </c>
      <c r="B1598" s="98">
        <v>2001</v>
      </c>
      <c r="C1598" s="98">
        <v>0.73219400000000001</v>
      </c>
    </row>
    <row r="1599" spans="1:3" x14ac:dyDescent="0.3">
      <c r="A1599" s="98" t="s">
        <v>134</v>
      </c>
      <c r="B1599" s="98">
        <v>2002</v>
      </c>
      <c r="C1599" s="98">
        <v>0.84388200000000002</v>
      </c>
    </row>
    <row r="1600" spans="1:3" x14ac:dyDescent="0.3">
      <c r="A1600" s="98" t="s">
        <v>134</v>
      </c>
      <c r="B1600" s="98">
        <v>2003</v>
      </c>
      <c r="C1600" s="98">
        <v>0.88523200000000002</v>
      </c>
    </row>
    <row r="1601" spans="1:3" x14ac:dyDescent="0.3">
      <c r="A1601" s="98" t="s">
        <v>134</v>
      </c>
      <c r="B1601" s="98">
        <v>2004</v>
      </c>
      <c r="C1601" s="98">
        <v>0.90542599999999995</v>
      </c>
    </row>
    <row r="1602" spans="1:3" x14ac:dyDescent="0.3">
      <c r="A1602" s="98" t="s">
        <v>134</v>
      </c>
      <c r="B1602" s="98">
        <v>2005</v>
      </c>
      <c r="C1602" s="98">
        <v>0.90881800000000001</v>
      </c>
    </row>
    <row r="1603" spans="1:3" x14ac:dyDescent="0.3">
      <c r="A1603" s="98" t="s">
        <v>134</v>
      </c>
      <c r="B1603" s="98">
        <v>2006</v>
      </c>
      <c r="C1603" s="98">
        <v>0.92102300000000004</v>
      </c>
    </row>
    <row r="1604" spans="1:3" x14ac:dyDescent="0.3">
      <c r="A1604" s="98" t="s">
        <v>134</v>
      </c>
      <c r="B1604" s="98">
        <v>2007</v>
      </c>
      <c r="C1604" s="98">
        <v>0.95989999999999998</v>
      </c>
    </row>
    <row r="1605" spans="1:3" x14ac:dyDescent="0.3">
      <c r="A1605" s="98" t="s">
        <v>134</v>
      </c>
      <c r="B1605" s="98">
        <v>2008</v>
      </c>
      <c r="C1605" s="98">
        <v>1.2134</v>
      </c>
    </row>
    <row r="1606" spans="1:3" x14ac:dyDescent="0.3">
      <c r="A1606" s="98" t="s">
        <v>134</v>
      </c>
      <c r="B1606" s="98">
        <v>2009</v>
      </c>
      <c r="C1606" s="98">
        <v>1.4339999999999999</v>
      </c>
    </row>
    <row r="1607" spans="1:3" x14ac:dyDescent="0.3">
      <c r="A1607" s="98" t="s">
        <v>134</v>
      </c>
      <c r="B1607" s="98">
        <v>2010</v>
      </c>
      <c r="C1607" s="98">
        <v>1.4532</v>
      </c>
    </row>
    <row r="1608" spans="1:3" x14ac:dyDescent="0.3">
      <c r="A1608" s="98" t="s">
        <v>134</v>
      </c>
      <c r="B1608" s="98">
        <v>2011</v>
      </c>
      <c r="C1608" s="98">
        <v>1.5841000000000001</v>
      </c>
    </row>
    <row r="1609" spans="1:3" x14ac:dyDescent="0.3">
      <c r="A1609" s="98" t="s">
        <v>134</v>
      </c>
      <c r="B1609" s="98">
        <v>2012</v>
      </c>
      <c r="C1609" s="98">
        <v>1.8846000000000001</v>
      </c>
    </row>
    <row r="1610" spans="1:3" x14ac:dyDescent="0.3">
      <c r="A1610" s="98" t="s">
        <v>134</v>
      </c>
      <c r="B1610" s="98">
        <v>2013</v>
      </c>
      <c r="C1610" s="98">
        <v>2.1616</v>
      </c>
    </row>
    <row r="1611" spans="1:3" x14ac:dyDescent="0.3">
      <c r="A1611" s="98" t="s">
        <v>134</v>
      </c>
      <c r="B1611" s="98">
        <v>2014</v>
      </c>
      <c r="C1611" s="98">
        <v>3.2000999999999999</v>
      </c>
    </row>
    <row r="1612" spans="1:3" x14ac:dyDescent="0.3">
      <c r="A1612" s="98" t="s">
        <v>134</v>
      </c>
      <c r="B1612" s="98">
        <v>2015</v>
      </c>
      <c r="C1612" s="98">
        <v>3.7944</v>
      </c>
    </row>
    <row r="1613" spans="1:3" x14ac:dyDescent="0.3">
      <c r="A1613" s="98" t="s">
        <v>134</v>
      </c>
      <c r="B1613" s="98">
        <v>2016</v>
      </c>
      <c r="C1613" s="98">
        <v>4.2001999999999997</v>
      </c>
    </row>
    <row r="1614" spans="1:3" x14ac:dyDescent="0.3">
      <c r="A1614" s="98" t="s">
        <v>134</v>
      </c>
      <c r="B1614" s="98">
        <v>2017</v>
      </c>
      <c r="C1614" s="98">
        <v>4.4157000000000002</v>
      </c>
    </row>
    <row r="1615" spans="1:3" x14ac:dyDescent="0.3">
      <c r="A1615" s="98" t="s">
        <v>134</v>
      </c>
      <c r="B1615" s="98">
        <v>2018</v>
      </c>
      <c r="C1615" s="98">
        <v>4.82</v>
      </c>
    </row>
    <row r="1616" spans="1:3" x14ac:dyDescent="0.3">
      <c r="A1616" s="98" t="s">
        <v>134</v>
      </c>
      <c r="B1616" s="98">
        <v>2019</v>
      </c>
      <c r="C1616" s="98">
        <v>5.5336999999999996</v>
      </c>
    </row>
    <row r="1617" spans="1:3" x14ac:dyDescent="0.3">
      <c r="A1617" s="98" t="s">
        <v>134</v>
      </c>
      <c r="B1617" s="98">
        <v>2020</v>
      </c>
      <c r="C1617" s="98">
        <v>5.7602000000000002</v>
      </c>
    </row>
    <row r="1618" spans="1:3" x14ac:dyDescent="0.3">
      <c r="A1618" s="98" t="s">
        <v>134</v>
      </c>
      <c r="B1618" s="98">
        <v>2021</v>
      </c>
      <c r="C1618" s="98">
        <v>6.0061</v>
      </c>
    </row>
    <row r="1619" spans="1:3" x14ac:dyDescent="0.3">
      <c r="A1619" s="98" t="s">
        <v>134</v>
      </c>
      <c r="B1619" s="98">
        <v>2022</v>
      </c>
      <c r="C1619" s="98">
        <v>8.5760000000000005</v>
      </c>
    </row>
    <row r="1620" spans="1:3" x14ac:dyDescent="0.3">
      <c r="A1620" s="98" t="s">
        <v>135</v>
      </c>
      <c r="B1620" s="98">
        <v>2001</v>
      </c>
      <c r="C1620" s="98">
        <v>0.68946498000000001</v>
      </c>
    </row>
    <row r="1621" spans="1:3" x14ac:dyDescent="0.3">
      <c r="A1621" s="98" t="s">
        <v>135</v>
      </c>
      <c r="B1621" s="98">
        <v>2002</v>
      </c>
      <c r="C1621" s="98">
        <v>0.62042436999999995</v>
      </c>
    </row>
    <row r="1622" spans="1:3" x14ac:dyDescent="0.3">
      <c r="A1622" s="98" t="s">
        <v>135</v>
      </c>
      <c r="B1622" s="98">
        <v>2003</v>
      </c>
      <c r="C1622" s="98">
        <v>0.56031825999999996</v>
      </c>
    </row>
    <row r="1623" spans="1:3" x14ac:dyDescent="0.3">
      <c r="A1623" s="98" t="s">
        <v>135</v>
      </c>
      <c r="B1623" s="98">
        <v>2004</v>
      </c>
      <c r="C1623" s="98">
        <v>0.51775914000000001</v>
      </c>
    </row>
    <row r="1624" spans="1:3" x14ac:dyDescent="0.3">
      <c r="A1624" s="98" t="s">
        <v>135</v>
      </c>
      <c r="B1624" s="98">
        <v>2005</v>
      </c>
      <c r="C1624" s="98">
        <v>0.58075381999999998</v>
      </c>
    </row>
    <row r="1625" spans="1:3" x14ac:dyDescent="0.3">
      <c r="A1625" s="98" t="s">
        <v>135</v>
      </c>
      <c r="B1625" s="98">
        <v>2006</v>
      </c>
      <c r="C1625" s="98">
        <v>0.50942434999999997</v>
      </c>
    </row>
    <row r="1626" spans="1:3" x14ac:dyDescent="0.3">
      <c r="A1626" s="98" t="s">
        <v>135</v>
      </c>
      <c r="B1626" s="98">
        <v>2007</v>
      </c>
      <c r="C1626" s="98">
        <v>0.49915144</v>
      </c>
    </row>
    <row r="1627" spans="1:3" x14ac:dyDescent="0.3">
      <c r="A1627" s="98" t="s">
        <v>135</v>
      </c>
      <c r="B1627" s="98">
        <v>2008</v>
      </c>
      <c r="C1627" s="98">
        <v>0.68596515000000002</v>
      </c>
    </row>
    <row r="1628" spans="1:3" x14ac:dyDescent="0.3">
      <c r="A1628" s="98" t="s">
        <v>135</v>
      </c>
      <c r="B1628" s="98">
        <v>2009</v>
      </c>
      <c r="C1628" s="98">
        <v>0.61747452999999997</v>
      </c>
    </row>
    <row r="1629" spans="1:3" x14ac:dyDescent="0.3">
      <c r="A1629" s="98" t="s">
        <v>135</v>
      </c>
      <c r="B1629" s="98">
        <v>2010</v>
      </c>
      <c r="C1629" s="98">
        <v>0.63877355000000002</v>
      </c>
    </row>
    <row r="1630" spans="1:3" x14ac:dyDescent="0.3">
      <c r="A1630" s="98" t="s">
        <v>135</v>
      </c>
      <c r="B1630" s="98">
        <v>2011</v>
      </c>
      <c r="C1630" s="98">
        <v>0.64678869000000005</v>
      </c>
    </row>
    <row r="1631" spans="1:3" x14ac:dyDescent="0.3">
      <c r="A1631" s="98" t="s">
        <v>135</v>
      </c>
      <c r="B1631" s="98">
        <v>2012</v>
      </c>
      <c r="C1631" s="98">
        <v>0.63371356000000001</v>
      </c>
    </row>
    <row r="1632" spans="1:3" x14ac:dyDescent="0.3">
      <c r="A1632" s="98" t="s">
        <v>135</v>
      </c>
      <c r="B1632" s="98">
        <v>2013</v>
      </c>
      <c r="C1632" s="98">
        <v>0.60723828000000002</v>
      </c>
    </row>
    <row r="1633" spans="1:3" x14ac:dyDescent="0.3">
      <c r="A1633" s="98" t="s">
        <v>135</v>
      </c>
      <c r="B1633" s="98">
        <v>2014</v>
      </c>
      <c r="C1633" s="98">
        <v>0.64069708000000003</v>
      </c>
    </row>
    <row r="1634" spans="1:3" x14ac:dyDescent="0.3">
      <c r="A1634" s="98" t="s">
        <v>135</v>
      </c>
      <c r="B1634" s="98">
        <v>2015</v>
      </c>
      <c r="C1634" s="98">
        <v>0.67480936999999996</v>
      </c>
    </row>
    <row r="1635" spans="1:3" x14ac:dyDescent="0.3">
      <c r="A1635" s="98" t="s">
        <v>135</v>
      </c>
      <c r="B1635" s="98">
        <v>2016</v>
      </c>
      <c r="C1635" s="98">
        <v>0.81287595999999995</v>
      </c>
    </row>
    <row r="1636" spans="1:3" x14ac:dyDescent="0.3">
      <c r="A1636" s="98" t="s">
        <v>135</v>
      </c>
      <c r="B1636" s="98">
        <v>2017</v>
      </c>
      <c r="C1636" s="98">
        <v>0.74011028000000001</v>
      </c>
    </row>
    <row r="1637" spans="1:3" x14ac:dyDescent="0.3">
      <c r="A1637" s="98" t="s">
        <v>135</v>
      </c>
      <c r="B1637" s="98">
        <v>2018</v>
      </c>
      <c r="C1637" s="98">
        <v>0.78768066999999997</v>
      </c>
    </row>
    <row r="1638" spans="1:3" x14ac:dyDescent="0.3">
      <c r="A1638" s="98" t="s">
        <v>135</v>
      </c>
      <c r="B1638" s="98">
        <v>2019</v>
      </c>
      <c r="C1638" s="98">
        <v>0.76210798999999996</v>
      </c>
    </row>
    <row r="1639" spans="1:3" x14ac:dyDescent="0.3">
      <c r="A1639" s="98" t="s">
        <v>135</v>
      </c>
      <c r="B1639" s="98">
        <v>2020</v>
      </c>
      <c r="C1639" s="98">
        <v>0.74515648000000001</v>
      </c>
    </row>
    <row r="1640" spans="1:3" x14ac:dyDescent="0.3">
      <c r="A1640" s="98" t="s">
        <v>135</v>
      </c>
      <c r="B1640" s="98">
        <v>2021</v>
      </c>
      <c r="C1640" s="98">
        <v>0.74437993000000002</v>
      </c>
    </row>
    <row r="1641" spans="1:3" x14ac:dyDescent="0.3">
      <c r="A1641" s="98" t="s">
        <v>135</v>
      </c>
      <c r="B1641" s="98">
        <v>2022</v>
      </c>
      <c r="C1641" s="98">
        <v>0.82863772000000002</v>
      </c>
    </row>
    <row r="1642" spans="1:3" x14ac:dyDescent="0.3">
      <c r="A1642" s="98" t="s">
        <v>136</v>
      </c>
      <c r="B1642" s="98">
        <v>2001</v>
      </c>
      <c r="C1642" s="98">
        <v>8.4094999999999995</v>
      </c>
    </row>
    <row r="1643" spans="1:3" x14ac:dyDescent="0.3">
      <c r="A1643" s="98" t="s">
        <v>136</v>
      </c>
      <c r="B1643" s="98">
        <v>2002</v>
      </c>
      <c r="C1643" s="98">
        <v>7.0822000000000003</v>
      </c>
    </row>
    <row r="1644" spans="1:3" x14ac:dyDescent="0.3">
      <c r="A1644" s="98" t="s">
        <v>136</v>
      </c>
      <c r="B1644" s="98">
        <v>2003</v>
      </c>
      <c r="C1644" s="98">
        <v>5.9576000000000002</v>
      </c>
    </row>
    <row r="1645" spans="1:3" x14ac:dyDescent="0.3">
      <c r="A1645" s="98" t="s">
        <v>136</v>
      </c>
      <c r="B1645" s="98">
        <v>2004</v>
      </c>
      <c r="C1645" s="98">
        <v>5.4676</v>
      </c>
    </row>
    <row r="1646" spans="1:3" x14ac:dyDescent="0.3">
      <c r="A1646" s="98" t="s">
        <v>136</v>
      </c>
      <c r="B1646" s="98">
        <v>2005</v>
      </c>
      <c r="C1646" s="98">
        <v>6.3240999999999996</v>
      </c>
    </row>
    <row r="1647" spans="1:3" x14ac:dyDescent="0.3">
      <c r="A1647" s="98" t="s">
        <v>136</v>
      </c>
      <c r="B1647" s="98">
        <v>2006</v>
      </c>
      <c r="C1647" s="98">
        <v>5.6614000000000004</v>
      </c>
    </row>
    <row r="1648" spans="1:3" x14ac:dyDescent="0.3">
      <c r="A1648" s="98" t="s">
        <v>136</v>
      </c>
      <c r="B1648" s="98">
        <v>2007</v>
      </c>
      <c r="C1648" s="98">
        <v>5.0753000000000004</v>
      </c>
    </row>
    <row r="1649" spans="1:3" x14ac:dyDescent="0.3">
      <c r="A1649" s="98" t="s">
        <v>136</v>
      </c>
      <c r="B1649" s="98">
        <v>2008</v>
      </c>
      <c r="C1649" s="98">
        <v>5.2849000000000004</v>
      </c>
    </row>
    <row r="1650" spans="1:3" x14ac:dyDescent="0.3">
      <c r="A1650" s="98" t="s">
        <v>136</v>
      </c>
      <c r="B1650" s="98">
        <v>2009</v>
      </c>
      <c r="C1650" s="98">
        <v>5.1901000000000002</v>
      </c>
    </row>
    <row r="1651" spans="1:3" x14ac:dyDescent="0.3">
      <c r="A1651" s="98" t="s">
        <v>136</v>
      </c>
      <c r="B1651" s="98">
        <v>2010</v>
      </c>
      <c r="C1651" s="98">
        <v>5.6132999999999997</v>
      </c>
    </row>
    <row r="1652" spans="1:3" x14ac:dyDescent="0.3">
      <c r="A1652" s="98" t="s">
        <v>136</v>
      </c>
      <c r="B1652" s="98">
        <v>2011</v>
      </c>
      <c r="C1652" s="98">
        <v>5.7455999999999996</v>
      </c>
    </row>
    <row r="1653" spans="1:3" x14ac:dyDescent="0.3">
      <c r="A1653" s="98" t="s">
        <v>136</v>
      </c>
      <c r="B1653" s="98">
        <v>2012</v>
      </c>
      <c r="C1653" s="98">
        <v>5.6590999999999996</v>
      </c>
    </row>
    <row r="1654" spans="1:3" x14ac:dyDescent="0.3">
      <c r="A1654" s="98" t="s">
        <v>136</v>
      </c>
      <c r="B1654" s="98">
        <v>2013</v>
      </c>
      <c r="C1654" s="98">
        <v>5.4127000000000001</v>
      </c>
    </row>
    <row r="1655" spans="1:3" x14ac:dyDescent="0.3">
      <c r="A1655" s="98" t="s">
        <v>136</v>
      </c>
      <c r="B1655" s="98">
        <v>2014</v>
      </c>
      <c r="C1655" s="98">
        <v>6.1214000000000004</v>
      </c>
    </row>
    <row r="1656" spans="1:3" x14ac:dyDescent="0.3">
      <c r="A1656" s="98" t="s">
        <v>136</v>
      </c>
      <c r="B1656" s="98">
        <v>2015</v>
      </c>
      <c r="C1656" s="98">
        <v>6.83</v>
      </c>
    </row>
    <row r="1657" spans="1:3" x14ac:dyDescent="0.3">
      <c r="A1657" s="98" t="s">
        <v>136</v>
      </c>
      <c r="B1657" s="98">
        <v>2016</v>
      </c>
      <c r="C1657" s="98">
        <v>7.0528000000000004</v>
      </c>
    </row>
    <row r="1658" spans="1:3" x14ac:dyDescent="0.3">
      <c r="A1658" s="98" t="s">
        <v>136</v>
      </c>
      <c r="B1658" s="98">
        <v>2017</v>
      </c>
    </row>
    <row r="1659" spans="1:3" x14ac:dyDescent="0.3">
      <c r="A1659" s="98" t="s">
        <v>136</v>
      </c>
      <c r="B1659" s="98">
        <v>2018</v>
      </c>
    </row>
    <row r="1660" spans="1:3" x14ac:dyDescent="0.3">
      <c r="A1660" s="98" t="s">
        <v>136</v>
      </c>
      <c r="B1660" s="98">
        <v>2019</v>
      </c>
    </row>
    <row r="1661" spans="1:3" x14ac:dyDescent="0.3">
      <c r="A1661" s="98" t="s">
        <v>136</v>
      </c>
      <c r="B1661" s="98">
        <v>2020</v>
      </c>
    </row>
    <row r="1662" spans="1:3" x14ac:dyDescent="0.3">
      <c r="A1662" s="98" t="s">
        <v>136</v>
      </c>
      <c r="B1662" s="98">
        <v>2021</v>
      </c>
    </row>
    <row r="1663" spans="1:3" x14ac:dyDescent="0.3">
      <c r="A1663" s="98" t="s">
        <v>136</v>
      </c>
      <c r="B1663" s="98">
        <v>2022</v>
      </c>
    </row>
    <row r="1664" spans="1:3" x14ac:dyDescent="0.3">
      <c r="A1664" s="98" t="s">
        <v>137</v>
      </c>
      <c r="B1664" s="98">
        <v>2001</v>
      </c>
      <c r="C1664" s="98">
        <v>2.7</v>
      </c>
    </row>
    <row r="1665" spans="1:3" x14ac:dyDescent="0.3">
      <c r="A1665" s="98" t="s">
        <v>137</v>
      </c>
      <c r="B1665" s="98">
        <v>2002</v>
      </c>
      <c r="C1665" s="98">
        <v>2.7</v>
      </c>
    </row>
    <row r="1666" spans="1:3" x14ac:dyDescent="0.3">
      <c r="A1666" s="98" t="s">
        <v>137</v>
      </c>
      <c r="B1666" s="98">
        <v>2003</v>
      </c>
      <c r="C1666" s="98">
        <v>2.7</v>
      </c>
    </row>
    <row r="1667" spans="1:3" x14ac:dyDescent="0.3">
      <c r="A1667" s="98" t="s">
        <v>137</v>
      </c>
      <c r="B1667" s="98">
        <v>2004</v>
      </c>
      <c r="C1667" s="98">
        <v>2.7</v>
      </c>
    </row>
    <row r="1668" spans="1:3" x14ac:dyDescent="0.3">
      <c r="A1668" s="98" t="s">
        <v>137</v>
      </c>
      <c r="B1668" s="98">
        <v>2005</v>
      </c>
      <c r="C1668" s="98">
        <v>2.7</v>
      </c>
    </row>
    <row r="1669" spans="1:3" x14ac:dyDescent="0.3">
      <c r="A1669" s="98" t="s">
        <v>137</v>
      </c>
      <c r="B1669" s="98">
        <v>2006</v>
      </c>
      <c r="C1669" s="98">
        <v>2.7</v>
      </c>
    </row>
    <row r="1670" spans="1:3" x14ac:dyDescent="0.3">
      <c r="A1670" s="98" t="s">
        <v>137</v>
      </c>
      <c r="B1670" s="98">
        <v>2007</v>
      </c>
      <c r="C1670" s="98">
        <v>2.7</v>
      </c>
    </row>
    <row r="1671" spans="1:3" x14ac:dyDescent="0.3">
      <c r="A1671" s="98" t="s">
        <v>137</v>
      </c>
      <c r="B1671" s="98">
        <v>2008</v>
      </c>
      <c r="C1671" s="98">
        <v>2.7</v>
      </c>
    </row>
    <row r="1672" spans="1:3" x14ac:dyDescent="0.3">
      <c r="A1672" s="98" t="s">
        <v>137</v>
      </c>
      <c r="B1672" s="98">
        <v>2009</v>
      </c>
      <c r="C1672" s="98">
        <v>2.7</v>
      </c>
    </row>
    <row r="1673" spans="1:3" x14ac:dyDescent="0.3">
      <c r="A1673" s="98" t="s">
        <v>137</v>
      </c>
      <c r="B1673" s="98">
        <v>2010</v>
      </c>
      <c r="C1673" s="98">
        <v>2.7</v>
      </c>
    </row>
    <row r="1674" spans="1:3" x14ac:dyDescent="0.3">
      <c r="A1674" s="98" t="s">
        <v>137</v>
      </c>
      <c r="B1674" s="98">
        <v>2011</v>
      </c>
      <c r="C1674" s="98">
        <v>2.7</v>
      </c>
    </row>
    <row r="1675" spans="1:3" x14ac:dyDescent="0.3">
      <c r="A1675" s="98" t="s">
        <v>137</v>
      </c>
      <c r="B1675" s="98">
        <v>2012</v>
      </c>
      <c r="C1675" s="98">
        <v>2.7</v>
      </c>
    </row>
    <row r="1676" spans="1:3" x14ac:dyDescent="0.3">
      <c r="A1676" s="98" t="s">
        <v>137</v>
      </c>
      <c r="B1676" s="98">
        <v>2013</v>
      </c>
      <c r="C1676" s="98">
        <v>2.7</v>
      </c>
    </row>
    <row r="1677" spans="1:3" x14ac:dyDescent="0.3">
      <c r="A1677" s="98" t="s">
        <v>137</v>
      </c>
      <c r="B1677" s="98">
        <v>2014</v>
      </c>
      <c r="C1677" s="98">
        <v>2.7</v>
      </c>
    </row>
    <row r="1678" spans="1:3" x14ac:dyDescent="0.3">
      <c r="A1678" s="98" t="s">
        <v>137</v>
      </c>
      <c r="B1678" s="98">
        <v>2015</v>
      </c>
      <c r="C1678" s="98">
        <v>2.7</v>
      </c>
    </row>
    <row r="1679" spans="1:3" x14ac:dyDescent="0.3">
      <c r="A1679" s="98" t="s">
        <v>137</v>
      </c>
      <c r="B1679" s="98">
        <v>2016</v>
      </c>
      <c r="C1679" s="98">
        <v>2.7</v>
      </c>
    </row>
    <row r="1680" spans="1:3" x14ac:dyDescent="0.3">
      <c r="A1680" s="98" t="s">
        <v>137</v>
      </c>
      <c r="B1680" s="98">
        <v>2017</v>
      </c>
      <c r="C1680" s="98">
        <v>2.7</v>
      </c>
    </row>
    <row r="1681" spans="1:3" x14ac:dyDescent="0.3">
      <c r="A1681" s="98" t="s">
        <v>137</v>
      </c>
      <c r="B1681" s="98">
        <v>2018</v>
      </c>
      <c r="C1681" s="98">
        <v>2.7</v>
      </c>
    </row>
    <row r="1682" spans="1:3" x14ac:dyDescent="0.3">
      <c r="A1682" s="98" t="s">
        <v>137</v>
      </c>
      <c r="B1682" s="98">
        <v>2019</v>
      </c>
      <c r="C1682" s="98">
        <v>2.7</v>
      </c>
    </row>
    <row r="1683" spans="1:3" x14ac:dyDescent="0.3">
      <c r="A1683" s="98" t="s">
        <v>137</v>
      </c>
      <c r="B1683" s="98">
        <v>2020</v>
      </c>
      <c r="C1683" s="98">
        <v>2.7</v>
      </c>
    </row>
    <row r="1684" spans="1:3" x14ac:dyDescent="0.3">
      <c r="A1684" s="98" t="s">
        <v>137</v>
      </c>
      <c r="B1684" s="98">
        <v>2021</v>
      </c>
      <c r="C1684" s="98">
        <v>2.7</v>
      </c>
    </row>
    <row r="1685" spans="1:3" x14ac:dyDescent="0.3">
      <c r="A1685" s="98" t="s">
        <v>137</v>
      </c>
      <c r="B1685" s="98">
        <v>2022</v>
      </c>
      <c r="C1685" s="98">
        <v>2.7</v>
      </c>
    </row>
    <row r="1686" spans="1:3" x14ac:dyDescent="0.3">
      <c r="A1686" s="98" t="s">
        <v>138</v>
      </c>
      <c r="B1686" s="98">
        <v>2001</v>
      </c>
      <c r="C1686" s="98">
        <v>8.0004799999999996</v>
      </c>
    </row>
    <row r="1687" spans="1:3" x14ac:dyDescent="0.3">
      <c r="A1687" s="98" t="s">
        <v>138</v>
      </c>
      <c r="B1687" s="98">
        <v>2002</v>
      </c>
      <c r="C1687" s="98">
        <v>7.8071999999999999</v>
      </c>
    </row>
    <row r="1688" spans="1:3" x14ac:dyDescent="0.3">
      <c r="A1688" s="98" t="s">
        <v>138</v>
      </c>
      <c r="B1688" s="98">
        <v>2003</v>
      </c>
      <c r="C1688" s="98">
        <v>8.0406899999999997</v>
      </c>
    </row>
    <row r="1689" spans="1:3" x14ac:dyDescent="0.3">
      <c r="A1689" s="98" t="s">
        <v>138</v>
      </c>
      <c r="B1689" s="98">
        <v>2004</v>
      </c>
      <c r="C1689" s="98">
        <v>7.7484400000000004</v>
      </c>
    </row>
    <row r="1690" spans="1:3" x14ac:dyDescent="0.3">
      <c r="A1690" s="98" t="s">
        <v>138</v>
      </c>
      <c r="B1690" s="98">
        <v>2005</v>
      </c>
      <c r="C1690" s="98">
        <v>7.6102999999999996</v>
      </c>
    </row>
    <row r="1691" spans="1:3" x14ac:dyDescent="0.3">
      <c r="A1691" s="98" t="s">
        <v>138</v>
      </c>
      <c r="B1691" s="98">
        <v>2006</v>
      </c>
      <c r="C1691" s="98">
        <v>7.6244899999999998</v>
      </c>
    </row>
    <row r="1692" spans="1:3" x14ac:dyDescent="0.3">
      <c r="A1692" s="98" t="s">
        <v>138</v>
      </c>
      <c r="B1692" s="98">
        <v>2007</v>
      </c>
      <c r="C1692" s="98">
        <v>7.6308199999999999</v>
      </c>
    </row>
    <row r="1693" spans="1:3" x14ac:dyDescent="0.3">
      <c r="A1693" s="98" t="s">
        <v>138</v>
      </c>
      <c r="B1693" s="98">
        <v>2008</v>
      </c>
      <c r="C1693" s="98">
        <v>7.7744099999999996</v>
      </c>
    </row>
    <row r="1694" spans="1:3" x14ac:dyDescent="0.3">
      <c r="A1694" s="98" t="s">
        <v>138</v>
      </c>
      <c r="B1694" s="98">
        <v>2009</v>
      </c>
      <c r="C1694" s="98">
        <v>8.3470499999999994</v>
      </c>
    </row>
    <row r="1695" spans="1:3" x14ac:dyDescent="0.3">
      <c r="A1695" s="98" t="s">
        <v>138</v>
      </c>
      <c r="B1695" s="98">
        <v>2010</v>
      </c>
      <c r="C1695" s="98">
        <v>8.0160400000000003</v>
      </c>
    </row>
    <row r="1696" spans="1:3" x14ac:dyDescent="0.3">
      <c r="A1696" s="98" t="s">
        <v>138</v>
      </c>
      <c r="B1696" s="98">
        <v>2011</v>
      </c>
      <c r="C1696" s="98">
        <v>7.80661</v>
      </c>
    </row>
    <row r="1697" spans="1:3" x14ac:dyDescent="0.3">
      <c r="A1697" s="98" t="s">
        <v>138</v>
      </c>
      <c r="B1697" s="98">
        <v>2012</v>
      </c>
      <c r="C1697" s="98">
        <v>7.8949400000000001</v>
      </c>
    </row>
    <row r="1698" spans="1:3" x14ac:dyDescent="0.3">
      <c r="A1698" s="98" t="s">
        <v>138</v>
      </c>
      <c r="B1698" s="98">
        <v>2013</v>
      </c>
      <c r="C1698" s="98">
        <v>7.8520599999999998</v>
      </c>
    </row>
    <row r="1699" spans="1:3" x14ac:dyDescent="0.3">
      <c r="A1699" s="98" t="s">
        <v>138</v>
      </c>
      <c r="B1699" s="98">
        <v>2014</v>
      </c>
      <c r="C1699" s="98">
        <v>7.5954499999999996</v>
      </c>
    </row>
    <row r="1700" spans="1:3" x14ac:dyDescent="0.3">
      <c r="A1700" s="98" t="s">
        <v>138</v>
      </c>
      <c r="B1700" s="98">
        <v>2015</v>
      </c>
      <c r="C1700" s="98">
        <v>7.6527849999999997</v>
      </c>
    </row>
    <row r="1701" spans="1:3" x14ac:dyDescent="0.3">
      <c r="A1701" s="98" t="s">
        <v>138</v>
      </c>
      <c r="B1701" s="98">
        <v>2016</v>
      </c>
      <c r="C1701" s="98">
        <v>7.5494700000000003</v>
      </c>
    </row>
    <row r="1702" spans="1:3" x14ac:dyDescent="0.3">
      <c r="A1702" s="98" t="s">
        <v>138</v>
      </c>
      <c r="B1702" s="98">
        <v>2017</v>
      </c>
      <c r="C1702" s="98">
        <v>7.3437599999999996</v>
      </c>
    </row>
    <row r="1703" spans="1:3" x14ac:dyDescent="0.3">
      <c r="A1703" s="98" t="s">
        <v>138</v>
      </c>
      <c r="B1703" s="98">
        <v>2018</v>
      </c>
      <c r="C1703" s="98">
        <v>7.7318150000000001</v>
      </c>
    </row>
    <row r="1704" spans="1:3" x14ac:dyDescent="0.3">
      <c r="A1704" s="98" t="s">
        <v>138</v>
      </c>
      <c r="B1704" s="98">
        <v>2019</v>
      </c>
      <c r="C1704" s="98">
        <v>7.70085</v>
      </c>
    </row>
    <row r="1705" spans="1:3" x14ac:dyDescent="0.3">
      <c r="A1705" s="98" t="s">
        <v>138</v>
      </c>
      <c r="B1705" s="98">
        <v>2020</v>
      </c>
      <c r="C1705" s="98">
        <v>7.7954350000000003</v>
      </c>
    </row>
    <row r="1706" spans="1:3" x14ac:dyDescent="0.3">
      <c r="A1706" s="98" t="s">
        <v>138</v>
      </c>
      <c r="B1706" s="98">
        <v>2021</v>
      </c>
      <c r="C1706" s="98">
        <v>7.7192600000000002</v>
      </c>
    </row>
    <row r="1707" spans="1:3" x14ac:dyDescent="0.3">
      <c r="A1707" s="98" t="s">
        <v>138</v>
      </c>
      <c r="B1707" s="98">
        <v>2022</v>
      </c>
      <c r="C1707" s="98">
        <v>7.8533249999999999</v>
      </c>
    </row>
    <row r="1708" spans="1:3" x14ac:dyDescent="0.3">
      <c r="A1708" s="98" t="s">
        <v>139</v>
      </c>
      <c r="B1708" s="98">
        <v>2001</v>
      </c>
      <c r="C1708" s="98">
        <v>0.68946498000000001</v>
      </c>
    </row>
    <row r="1709" spans="1:3" x14ac:dyDescent="0.3">
      <c r="A1709" s="98" t="s">
        <v>139</v>
      </c>
      <c r="B1709" s="98">
        <v>2002</v>
      </c>
      <c r="C1709" s="98">
        <v>0.62042436999999995</v>
      </c>
    </row>
    <row r="1710" spans="1:3" x14ac:dyDescent="0.3">
      <c r="A1710" s="98" t="s">
        <v>139</v>
      </c>
      <c r="B1710" s="98">
        <v>2003</v>
      </c>
      <c r="C1710" s="98">
        <v>0.56031825999999996</v>
      </c>
    </row>
    <row r="1711" spans="1:3" x14ac:dyDescent="0.3">
      <c r="A1711" s="98" t="s">
        <v>139</v>
      </c>
      <c r="B1711" s="98">
        <v>2004</v>
      </c>
      <c r="C1711" s="98">
        <v>0.51775914000000001</v>
      </c>
    </row>
    <row r="1712" spans="1:3" x14ac:dyDescent="0.3">
      <c r="A1712" s="98" t="s">
        <v>139</v>
      </c>
      <c r="B1712" s="98">
        <v>2005</v>
      </c>
      <c r="C1712" s="98">
        <v>0.58075381999999998</v>
      </c>
    </row>
    <row r="1713" spans="1:3" x14ac:dyDescent="0.3">
      <c r="A1713" s="98" t="s">
        <v>139</v>
      </c>
      <c r="B1713" s="98">
        <v>2006</v>
      </c>
      <c r="C1713" s="98">
        <v>0.50942434999999997</v>
      </c>
    </row>
    <row r="1714" spans="1:3" x14ac:dyDescent="0.3">
      <c r="A1714" s="98" t="s">
        <v>139</v>
      </c>
      <c r="B1714" s="98">
        <v>2007</v>
      </c>
      <c r="C1714" s="98">
        <v>0.49915144</v>
      </c>
    </row>
    <row r="1715" spans="1:3" x14ac:dyDescent="0.3">
      <c r="A1715" s="98" t="s">
        <v>139</v>
      </c>
      <c r="B1715" s="98">
        <v>2008</v>
      </c>
      <c r="C1715" s="98">
        <v>0.68596515000000002</v>
      </c>
    </row>
    <row r="1716" spans="1:3" x14ac:dyDescent="0.3">
      <c r="A1716" s="98" t="s">
        <v>139</v>
      </c>
      <c r="B1716" s="98">
        <v>2009</v>
      </c>
      <c r="C1716" s="98">
        <v>0.61747452999999997</v>
      </c>
    </row>
    <row r="1717" spans="1:3" x14ac:dyDescent="0.3">
      <c r="A1717" s="98" t="s">
        <v>139</v>
      </c>
      <c r="B1717" s="98">
        <v>2010</v>
      </c>
      <c r="C1717" s="98">
        <v>0.63877355000000002</v>
      </c>
    </row>
    <row r="1718" spans="1:3" x14ac:dyDescent="0.3">
      <c r="A1718" s="98" t="s">
        <v>139</v>
      </c>
      <c r="B1718" s="98">
        <v>2011</v>
      </c>
      <c r="C1718" s="98">
        <v>0.64678869000000005</v>
      </c>
    </row>
    <row r="1719" spans="1:3" x14ac:dyDescent="0.3">
      <c r="A1719" s="98" t="s">
        <v>139</v>
      </c>
      <c r="B1719" s="98">
        <v>2012</v>
      </c>
      <c r="C1719" s="98">
        <v>0.63371356000000001</v>
      </c>
    </row>
    <row r="1720" spans="1:3" x14ac:dyDescent="0.3">
      <c r="A1720" s="98" t="s">
        <v>139</v>
      </c>
      <c r="B1720" s="98">
        <v>2013</v>
      </c>
      <c r="C1720" s="98">
        <v>0.60723828000000002</v>
      </c>
    </row>
    <row r="1721" spans="1:3" x14ac:dyDescent="0.3">
      <c r="A1721" s="98" t="s">
        <v>139</v>
      </c>
      <c r="B1721" s="98">
        <v>2014</v>
      </c>
      <c r="C1721" s="98">
        <v>0.64069708000000003</v>
      </c>
    </row>
    <row r="1722" spans="1:3" x14ac:dyDescent="0.3">
      <c r="A1722" s="98" t="s">
        <v>139</v>
      </c>
      <c r="B1722" s="98">
        <v>2015</v>
      </c>
      <c r="C1722" s="98">
        <v>0.67480936999999996</v>
      </c>
    </row>
    <row r="1723" spans="1:3" x14ac:dyDescent="0.3">
      <c r="A1723" s="98" t="s">
        <v>139</v>
      </c>
      <c r="B1723" s="98">
        <v>2016</v>
      </c>
      <c r="C1723" s="98">
        <v>0.81287595999999995</v>
      </c>
    </row>
    <row r="1724" spans="1:3" x14ac:dyDescent="0.3">
      <c r="A1724" s="98" t="s">
        <v>139</v>
      </c>
      <c r="B1724" s="98">
        <v>2017</v>
      </c>
      <c r="C1724" s="98">
        <v>0.74011028000000001</v>
      </c>
    </row>
    <row r="1725" spans="1:3" x14ac:dyDescent="0.3">
      <c r="A1725" s="98" t="s">
        <v>139</v>
      </c>
      <c r="B1725" s="98">
        <v>2018</v>
      </c>
      <c r="C1725" s="98">
        <v>0.78768066999999997</v>
      </c>
    </row>
    <row r="1726" spans="1:3" x14ac:dyDescent="0.3">
      <c r="A1726" s="98" t="s">
        <v>139</v>
      </c>
      <c r="B1726" s="98">
        <v>2019</v>
      </c>
      <c r="C1726" s="98">
        <v>0.76210798999999996</v>
      </c>
    </row>
    <row r="1727" spans="1:3" x14ac:dyDescent="0.3">
      <c r="A1727" s="98" t="s">
        <v>139</v>
      </c>
      <c r="B1727" s="98">
        <v>2020</v>
      </c>
      <c r="C1727" s="98">
        <v>0.74515648000000001</v>
      </c>
    </row>
    <row r="1728" spans="1:3" x14ac:dyDescent="0.3">
      <c r="A1728" s="98" t="s">
        <v>139</v>
      </c>
      <c r="B1728" s="98">
        <v>2021</v>
      </c>
      <c r="C1728" s="98">
        <v>0.74437993000000002</v>
      </c>
    </row>
    <row r="1729" spans="1:3" x14ac:dyDescent="0.3">
      <c r="A1729" s="98" t="s">
        <v>139</v>
      </c>
      <c r="B1729" s="98">
        <v>2022</v>
      </c>
      <c r="C1729" s="98">
        <v>0.82863772000000002</v>
      </c>
    </row>
    <row r="1730" spans="1:3" x14ac:dyDescent="0.3">
      <c r="A1730" s="98" t="s">
        <v>140</v>
      </c>
      <c r="B1730" s="98">
        <v>2001</v>
      </c>
      <c r="C1730" s="98">
        <v>1988.328</v>
      </c>
    </row>
    <row r="1731" spans="1:3" x14ac:dyDescent="0.3">
      <c r="A1731" s="98" t="s">
        <v>140</v>
      </c>
      <c r="B1731" s="98">
        <v>2002</v>
      </c>
      <c r="C1731" s="98">
        <v>1976</v>
      </c>
    </row>
    <row r="1732" spans="1:3" x14ac:dyDescent="0.3">
      <c r="A1732" s="98" t="s">
        <v>140</v>
      </c>
      <c r="B1732" s="98">
        <v>2003</v>
      </c>
      <c r="C1732" s="98">
        <v>2000</v>
      </c>
    </row>
    <row r="1733" spans="1:3" x14ac:dyDescent="0.3">
      <c r="A1733" s="98" t="s">
        <v>140</v>
      </c>
      <c r="B1733" s="98">
        <v>2004</v>
      </c>
      <c r="C1733" s="98">
        <v>2550</v>
      </c>
    </row>
    <row r="1734" spans="1:3" x14ac:dyDescent="0.3">
      <c r="A1734" s="98" t="s">
        <v>140</v>
      </c>
      <c r="B1734" s="98">
        <v>2005</v>
      </c>
      <c r="C1734" s="98">
        <v>4500</v>
      </c>
    </row>
    <row r="1735" spans="1:3" x14ac:dyDescent="0.3">
      <c r="A1735" s="98" t="s">
        <v>140</v>
      </c>
      <c r="B1735" s="98">
        <v>2006</v>
      </c>
      <c r="C1735" s="98">
        <v>5650</v>
      </c>
    </row>
    <row r="1736" spans="1:3" x14ac:dyDescent="0.3">
      <c r="A1736" s="98" t="s">
        <v>140</v>
      </c>
      <c r="B1736" s="98">
        <v>2007</v>
      </c>
      <c r="C1736" s="98">
        <v>4181.7293</v>
      </c>
    </row>
    <row r="1737" spans="1:3" x14ac:dyDescent="0.3">
      <c r="A1737" s="98" t="s">
        <v>140</v>
      </c>
      <c r="B1737" s="98">
        <v>2008</v>
      </c>
      <c r="C1737" s="98">
        <v>5160.9589999999998</v>
      </c>
    </row>
    <row r="1738" spans="1:3" x14ac:dyDescent="0.3">
      <c r="A1738" s="98" t="s">
        <v>140</v>
      </c>
      <c r="B1738" s="98">
        <v>2009</v>
      </c>
      <c r="C1738" s="98">
        <v>4924.4418999999998</v>
      </c>
    </row>
    <row r="1739" spans="1:3" x14ac:dyDescent="0.3">
      <c r="A1739" s="98" t="s">
        <v>140</v>
      </c>
      <c r="B1739" s="98">
        <v>2010</v>
      </c>
      <c r="C1739" s="98">
        <v>6083.9458000000004</v>
      </c>
    </row>
    <row r="1740" spans="1:3" x14ac:dyDescent="0.3">
      <c r="A1740" s="98" t="s">
        <v>140</v>
      </c>
      <c r="B1740" s="98">
        <v>2011</v>
      </c>
      <c r="C1740" s="98">
        <v>7089.5258000000003</v>
      </c>
    </row>
    <row r="1741" spans="1:3" x14ac:dyDescent="0.3">
      <c r="A1741" s="98" t="s">
        <v>140</v>
      </c>
      <c r="B1741" s="98">
        <v>2012</v>
      </c>
      <c r="C1741" s="98">
        <v>6969.7631000000001</v>
      </c>
    </row>
    <row r="1742" spans="1:3" x14ac:dyDescent="0.3">
      <c r="A1742" s="98" t="s">
        <v>140</v>
      </c>
      <c r="B1742" s="98">
        <v>2013</v>
      </c>
      <c r="C1742" s="98">
        <v>7005.8314</v>
      </c>
    </row>
    <row r="1743" spans="1:3" x14ac:dyDescent="0.3">
      <c r="A1743" s="98" t="s">
        <v>140</v>
      </c>
      <c r="B1743" s="98">
        <v>2014</v>
      </c>
      <c r="C1743" s="98">
        <v>7227.6662999999999</v>
      </c>
    </row>
    <row r="1744" spans="1:3" x14ac:dyDescent="0.3">
      <c r="A1744" s="98" t="s">
        <v>140</v>
      </c>
      <c r="B1744" s="98">
        <v>2015</v>
      </c>
      <c r="C1744" s="98">
        <v>8003.7444999999998</v>
      </c>
    </row>
    <row r="1745" spans="1:3" x14ac:dyDescent="0.3">
      <c r="A1745" s="98" t="s">
        <v>140</v>
      </c>
      <c r="B1745" s="98">
        <v>2016</v>
      </c>
      <c r="C1745" s="98">
        <v>9225.3078000000005</v>
      </c>
    </row>
    <row r="1746" spans="1:3" x14ac:dyDescent="0.3">
      <c r="A1746" s="98" t="s">
        <v>140</v>
      </c>
      <c r="B1746" s="98">
        <v>2017</v>
      </c>
      <c r="C1746" s="98">
        <v>9006.3592000000008</v>
      </c>
    </row>
    <row r="1747" spans="1:3" x14ac:dyDescent="0.3">
      <c r="A1747" s="98" t="s">
        <v>140</v>
      </c>
      <c r="B1747" s="98">
        <v>2018</v>
      </c>
      <c r="C1747" s="98">
        <v>9084.8032000000003</v>
      </c>
    </row>
    <row r="1748" spans="1:3" x14ac:dyDescent="0.3">
      <c r="A1748" s="98" t="s">
        <v>140</v>
      </c>
      <c r="B1748" s="98">
        <v>2019</v>
      </c>
      <c r="C1748" s="98">
        <v>9400.8248999999996</v>
      </c>
    </row>
    <row r="1749" spans="1:3" x14ac:dyDescent="0.3">
      <c r="A1749" s="98" t="s">
        <v>140</v>
      </c>
      <c r="B1749" s="98">
        <v>2020</v>
      </c>
      <c r="C1749" s="98">
        <v>9990.0017000000007</v>
      </c>
    </row>
    <row r="1750" spans="1:3" x14ac:dyDescent="0.3">
      <c r="A1750" s="98" t="s">
        <v>140</v>
      </c>
      <c r="B1750" s="98">
        <v>2021</v>
      </c>
    </row>
    <row r="1751" spans="1:3" x14ac:dyDescent="0.3">
      <c r="A1751" s="98" t="s">
        <v>140</v>
      </c>
      <c r="B1751" s="98">
        <v>2022</v>
      </c>
    </row>
    <row r="1752" spans="1:3" x14ac:dyDescent="0.3">
      <c r="A1752" s="98" t="s">
        <v>141</v>
      </c>
      <c r="B1752" s="98">
        <v>2001</v>
      </c>
      <c r="C1752" s="98">
        <v>744.30614000000003</v>
      </c>
    </row>
    <row r="1753" spans="1:3" x14ac:dyDescent="0.3">
      <c r="A1753" s="98" t="s">
        <v>141</v>
      </c>
      <c r="B1753" s="98">
        <v>2002</v>
      </c>
      <c r="C1753" s="98">
        <v>625.49537999999995</v>
      </c>
    </row>
    <row r="1754" spans="1:3" x14ac:dyDescent="0.3">
      <c r="A1754" s="98" t="s">
        <v>141</v>
      </c>
      <c r="B1754" s="98">
        <v>2003</v>
      </c>
      <c r="C1754" s="98">
        <v>519.36420999999996</v>
      </c>
    </row>
    <row r="1755" spans="1:3" x14ac:dyDescent="0.3">
      <c r="A1755" s="98" t="s">
        <v>141</v>
      </c>
      <c r="B1755" s="98">
        <v>2004</v>
      </c>
      <c r="C1755" s="98">
        <v>481.57771000000002</v>
      </c>
    </row>
    <row r="1756" spans="1:3" x14ac:dyDescent="0.3">
      <c r="A1756" s="98" t="s">
        <v>141</v>
      </c>
      <c r="B1756" s="98">
        <v>2005</v>
      </c>
      <c r="C1756" s="98">
        <v>556.03713000000005</v>
      </c>
    </row>
    <row r="1757" spans="1:3" x14ac:dyDescent="0.3">
      <c r="A1757" s="98" t="s">
        <v>141</v>
      </c>
      <c r="B1757" s="98">
        <v>2006</v>
      </c>
      <c r="C1757" s="98">
        <v>498.06909999999999</v>
      </c>
    </row>
    <row r="1758" spans="1:3" x14ac:dyDescent="0.3">
      <c r="A1758" s="98" t="s">
        <v>141</v>
      </c>
      <c r="B1758" s="98">
        <v>2007</v>
      </c>
      <c r="C1758" s="98">
        <v>445.59269</v>
      </c>
    </row>
    <row r="1759" spans="1:3" x14ac:dyDescent="0.3">
      <c r="A1759" s="98" t="s">
        <v>141</v>
      </c>
      <c r="B1759" s="98">
        <v>2008</v>
      </c>
      <c r="C1759" s="98">
        <v>471.33506</v>
      </c>
    </row>
    <row r="1760" spans="1:3" x14ac:dyDescent="0.3">
      <c r="A1760" s="98" t="s">
        <v>141</v>
      </c>
      <c r="B1760" s="98">
        <v>2009</v>
      </c>
      <c r="C1760" s="98">
        <v>455.33596999999997</v>
      </c>
    </row>
    <row r="1761" spans="1:3" x14ac:dyDescent="0.3">
      <c r="A1761" s="98" t="s">
        <v>141</v>
      </c>
      <c r="B1761" s="98">
        <v>2010</v>
      </c>
      <c r="C1761" s="98">
        <v>490.91228999999998</v>
      </c>
    </row>
    <row r="1762" spans="1:3" x14ac:dyDescent="0.3">
      <c r="A1762" s="98" t="s">
        <v>141</v>
      </c>
      <c r="B1762" s="98">
        <v>2011</v>
      </c>
      <c r="C1762" s="98">
        <v>506.96113000000003</v>
      </c>
    </row>
    <row r="1763" spans="1:3" x14ac:dyDescent="0.3">
      <c r="A1763" s="98" t="s">
        <v>141</v>
      </c>
      <c r="B1763" s="98">
        <v>2012</v>
      </c>
      <c r="C1763" s="98">
        <v>497.16309999999999</v>
      </c>
    </row>
    <row r="1764" spans="1:3" x14ac:dyDescent="0.3">
      <c r="A1764" s="98" t="s">
        <v>141</v>
      </c>
      <c r="B1764" s="98">
        <v>2013</v>
      </c>
      <c r="C1764" s="98">
        <v>475.64136000000002</v>
      </c>
    </row>
    <row r="1765" spans="1:3" x14ac:dyDescent="0.3">
      <c r="A1765" s="98" t="s">
        <v>141</v>
      </c>
      <c r="B1765" s="98">
        <v>2014</v>
      </c>
      <c r="C1765" s="98">
        <v>540.28251</v>
      </c>
    </row>
    <row r="1766" spans="1:3" x14ac:dyDescent="0.3">
      <c r="A1766" s="98" t="s">
        <v>141</v>
      </c>
      <c r="B1766" s="98">
        <v>2015</v>
      </c>
      <c r="C1766" s="98">
        <v>602.51400999999998</v>
      </c>
    </row>
    <row r="1767" spans="1:3" x14ac:dyDescent="0.3">
      <c r="A1767" s="98" t="s">
        <v>141</v>
      </c>
      <c r="B1767" s="98">
        <v>2016</v>
      </c>
      <c r="C1767" s="98">
        <v>622.29105000000004</v>
      </c>
    </row>
    <row r="1768" spans="1:3" x14ac:dyDescent="0.3">
      <c r="A1768" s="98" t="s">
        <v>141</v>
      </c>
      <c r="B1768" s="98">
        <v>2017</v>
      </c>
      <c r="C1768" s="98">
        <v>546.94988999999998</v>
      </c>
    </row>
    <row r="1769" spans="1:3" x14ac:dyDescent="0.3">
      <c r="A1769" s="98" t="s">
        <v>141</v>
      </c>
      <c r="B1769" s="98">
        <v>2018</v>
      </c>
      <c r="C1769" s="98">
        <v>572.88820999999996</v>
      </c>
    </row>
    <row r="1770" spans="1:3" x14ac:dyDescent="0.3">
      <c r="A1770" s="98" t="s">
        <v>141</v>
      </c>
      <c r="B1770" s="98">
        <v>2019</v>
      </c>
      <c r="C1770" s="98">
        <v>583.90332999999998</v>
      </c>
    </row>
    <row r="1771" spans="1:3" x14ac:dyDescent="0.3">
      <c r="A1771" s="98" t="s">
        <v>141</v>
      </c>
      <c r="B1771" s="98">
        <v>2020</v>
      </c>
      <c r="C1771" s="98">
        <v>534.55871999999999</v>
      </c>
    </row>
    <row r="1772" spans="1:3" x14ac:dyDescent="0.3">
      <c r="A1772" s="98" t="s">
        <v>141</v>
      </c>
      <c r="B1772" s="98">
        <v>2021</v>
      </c>
      <c r="C1772" s="98">
        <v>579.16034000000002</v>
      </c>
    </row>
    <row r="1773" spans="1:3" x14ac:dyDescent="0.3">
      <c r="A1773" s="98" t="s">
        <v>141</v>
      </c>
      <c r="B1773" s="98">
        <v>2022</v>
      </c>
      <c r="C1773" s="98">
        <v>614.99811999999997</v>
      </c>
    </row>
    <row r="1774" spans="1:3" x14ac:dyDescent="0.3">
      <c r="A1774" s="98" t="s">
        <v>142</v>
      </c>
      <c r="B1774" s="98">
        <v>2001</v>
      </c>
      <c r="C1774" s="98">
        <v>189.5</v>
      </c>
    </row>
    <row r="1775" spans="1:3" x14ac:dyDescent="0.3">
      <c r="A1775" s="98" t="s">
        <v>142</v>
      </c>
      <c r="B1775" s="98">
        <v>2002</v>
      </c>
      <c r="C1775" s="98">
        <v>191.75</v>
      </c>
    </row>
    <row r="1776" spans="1:3" x14ac:dyDescent="0.3">
      <c r="A1776" s="98" t="s">
        <v>142</v>
      </c>
      <c r="B1776" s="98">
        <v>2003</v>
      </c>
      <c r="C1776" s="98">
        <v>194.25</v>
      </c>
    </row>
    <row r="1777" spans="1:3" x14ac:dyDescent="0.3">
      <c r="A1777" s="98" t="s">
        <v>142</v>
      </c>
      <c r="B1777" s="98">
        <v>2004</v>
      </c>
      <c r="C1777" s="98">
        <v>199.75</v>
      </c>
    </row>
    <row r="1778" spans="1:3" x14ac:dyDescent="0.3">
      <c r="A1778" s="98" t="s">
        <v>142</v>
      </c>
      <c r="B1778" s="98">
        <v>2005</v>
      </c>
      <c r="C1778" s="98">
        <v>200.25</v>
      </c>
    </row>
    <row r="1779" spans="1:3" x14ac:dyDescent="0.3">
      <c r="A1779" s="98" t="s">
        <v>142</v>
      </c>
      <c r="B1779" s="98">
        <v>2006</v>
      </c>
      <c r="C1779" s="98">
        <v>201</v>
      </c>
    </row>
    <row r="1780" spans="1:3" x14ac:dyDescent="0.3">
      <c r="A1780" s="98" t="s">
        <v>142</v>
      </c>
      <c r="B1780" s="98">
        <v>2007</v>
      </c>
      <c r="C1780" s="98">
        <v>203.5</v>
      </c>
    </row>
    <row r="1781" spans="1:3" x14ac:dyDescent="0.3">
      <c r="A1781" s="98" t="s">
        <v>142</v>
      </c>
      <c r="B1781" s="98">
        <v>2008</v>
      </c>
      <c r="C1781" s="98">
        <v>205.25</v>
      </c>
    </row>
    <row r="1782" spans="1:3" x14ac:dyDescent="0.3">
      <c r="A1782" s="98" t="s">
        <v>142</v>
      </c>
      <c r="B1782" s="98">
        <v>2009</v>
      </c>
      <c r="C1782" s="98">
        <v>203.25</v>
      </c>
    </row>
    <row r="1783" spans="1:3" x14ac:dyDescent="0.3">
      <c r="A1783" s="98" t="s">
        <v>142</v>
      </c>
      <c r="B1783" s="98">
        <v>2010</v>
      </c>
      <c r="C1783" s="98">
        <v>203.5</v>
      </c>
    </row>
    <row r="1784" spans="1:3" x14ac:dyDescent="0.3">
      <c r="A1784" s="98" t="s">
        <v>142</v>
      </c>
      <c r="B1784" s="98">
        <v>2011</v>
      </c>
      <c r="C1784" s="98">
        <v>203.75</v>
      </c>
    </row>
    <row r="1785" spans="1:3" x14ac:dyDescent="0.3">
      <c r="A1785" s="98" t="s">
        <v>142</v>
      </c>
      <c r="B1785" s="98">
        <v>2012</v>
      </c>
      <c r="C1785" s="98">
        <v>204.25</v>
      </c>
    </row>
    <row r="1786" spans="1:3" x14ac:dyDescent="0.3">
      <c r="A1786" s="98" t="s">
        <v>142</v>
      </c>
      <c r="B1786" s="98">
        <v>2013</v>
      </c>
      <c r="C1786" s="98">
        <v>206.25</v>
      </c>
    </row>
    <row r="1787" spans="1:3" x14ac:dyDescent="0.3">
      <c r="A1787" s="98" t="s">
        <v>142</v>
      </c>
      <c r="B1787" s="98">
        <v>2014</v>
      </c>
      <c r="C1787" s="98">
        <v>206.5</v>
      </c>
    </row>
    <row r="1788" spans="1:3" x14ac:dyDescent="0.3">
      <c r="A1788" s="98" t="s">
        <v>142</v>
      </c>
      <c r="B1788" s="98">
        <v>2015</v>
      </c>
      <c r="C1788" s="98">
        <v>206.5</v>
      </c>
    </row>
    <row r="1789" spans="1:3" x14ac:dyDescent="0.3">
      <c r="A1789" s="98" t="s">
        <v>142</v>
      </c>
      <c r="B1789" s="98">
        <v>2016</v>
      </c>
      <c r="C1789" s="98">
        <v>206.5</v>
      </c>
    </row>
    <row r="1790" spans="1:3" x14ac:dyDescent="0.3">
      <c r="A1790" s="98" t="s">
        <v>142</v>
      </c>
      <c r="B1790" s="98">
        <v>2017</v>
      </c>
      <c r="C1790" s="98">
        <v>206.5</v>
      </c>
    </row>
    <row r="1791" spans="1:3" x14ac:dyDescent="0.3">
      <c r="A1791" s="98" t="s">
        <v>142</v>
      </c>
      <c r="B1791" s="98">
        <v>2018</v>
      </c>
      <c r="C1791" s="98">
        <v>208.5</v>
      </c>
    </row>
    <row r="1792" spans="1:3" x14ac:dyDescent="0.3">
      <c r="A1792" s="98" t="s">
        <v>142</v>
      </c>
      <c r="B1792" s="98">
        <v>2019</v>
      </c>
      <c r="C1792" s="98">
        <v>208.5</v>
      </c>
    </row>
    <row r="1793" spans="1:3" x14ac:dyDescent="0.3">
      <c r="A1793" s="98" t="s">
        <v>142</v>
      </c>
      <c r="B1793" s="98">
        <v>2020</v>
      </c>
      <c r="C1793" s="98">
        <v>208.5</v>
      </c>
    </row>
    <row r="1794" spans="1:3" x14ac:dyDescent="0.3">
      <c r="A1794" s="98" t="s">
        <v>142</v>
      </c>
      <c r="B1794" s="98">
        <v>2021</v>
      </c>
      <c r="C1794" s="98">
        <v>208.5</v>
      </c>
    </row>
    <row r="1795" spans="1:3" x14ac:dyDescent="0.3">
      <c r="A1795" s="98" t="s">
        <v>142</v>
      </c>
      <c r="B1795" s="98">
        <v>2022</v>
      </c>
    </row>
    <row r="1796" spans="1:3" x14ac:dyDescent="0.3">
      <c r="A1796" s="98" t="s">
        <v>143</v>
      </c>
      <c r="B1796" s="98">
        <v>2001</v>
      </c>
      <c r="C1796" s="98">
        <v>26.338899999999999</v>
      </c>
    </row>
    <row r="1797" spans="1:3" x14ac:dyDescent="0.3">
      <c r="A1797" s="98" t="s">
        <v>143</v>
      </c>
      <c r="B1797" s="98">
        <v>2002</v>
      </c>
      <c r="C1797" s="98">
        <v>37.609200000000001</v>
      </c>
    </row>
    <row r="1798" spans="1:3" x14ac:dyDescent="0.3">
      <c r="A1798" s="98" t="s">
        <v>143</v>
      </c>
      <c r="B1798" s="98">
        <v>2003</v>
      </c>
      <c r="C1798" s="98">
        <v>42.084899999999998</v>
      </c>
    </row>
    <row r="1799" spans="1:3" x14ac:dyDescent="0.3">
      <c r="A1799" s="98" t="s">
        <v>143</v>
      </c>
      <c r="B1799" s="98">
        <v>2004</v>
      </c>
      <c r="C1799" s="98">
        <v>37.2318</v>
      </c>
    </row>
    <row r="1800" spans="1:3" x14ac:dyDescent="0.3">
      <c r="A1800" s="98" t="s">
        <v>143</v>
      </c>
      <c r="B1800" s="98">
        <v>2005</v>
      </c>
      <c r="C1800" s="98">
        <v>43.000300000000003</v>
      </c>
    </row>
    <row r="1801" spans="1:3" x14ac:dyDescent="0.3">
      <c r="A1801" s="98" t="s">
        <v>143</v>
      </c>
      <c r="B1801" s="98">
        <v>2006</v>
      </c>
      <c r="C1801" s="98">
        <v>37.5914</v>
      </c>
    </row>
    <row r="1802" spans="1:3" x14ac:dyDescent="0.3">
      <c r="A1802" s="98" t="s">
        <v>143</v>
      </c>
      <c r="B1802" s="98">
        <v>2007</v>
      </c>
      <c r="C1802" s="98">
        <v>36.784399999999998</v>
      </c>
    </row>
    <row r="1803" spans="1:3" x14ac:dyDescent="0.3">
      <c r="A1803" s="98" t="s">
        <v>143</v>
      </c>
      <c r="B1803" s="98">
        <v>2008</v>
      </c>
      <c r="C1803" s="98">
        <v>39.817599999999999</v>
      </c>
    </row>
    <row r="1804" spans="1:3" x14ac:dyDescent="0.3">
      <c r="A1804" s="98" t="s">
        <v>143</v>
      </c>
      <c r="B1804" s="98">
        <v>2009</v>
      </c>
      <c r="C1804" s="98">
        <v>42.019300000000001</v>
      </c>
    </row>
    <row r="1805" spans="1:3" x14ac:dyDescent="0.3">
      <c r="A1805" s="98" t="s">
        <v>143</v>
      </c>
      <c r="B1805" s="98">
        <v>2010</v>
      </c>
      <c r="C1805" s="98">
        <v>39.881700000000002</v>
      </c>
    </row>
    <row r="1806" spans="1:3" x14ac:dyDescent="0.3">
      <c r="A1806" s="98" t="s">
        <v>143</v>
      </c>
      <c r="B1806" s="98">
        <v>2011</v>
      </c>
      <c r="C1806" s="98">
        <v>40.977468000000002</v>
      </c>
    </row>
    <row r="1807" spans="1:3" x14ac:dyDescent="0.3">
      <c r="A1807" s="98" t="s">
        <v>143</v>
      </c>
      <c r="B1807" s="98">
        <v>2012</v>
      </c>
      <c r="C1807" s="98">
        <v>42.552999999999997</v>
      </c>
    </row>
    <row r="1808" spans="1:3" x14ac:dyDescent="0.3">
      <c r="A1808" s="98" t="s">
        <v>143</v>
      </c>
      <c r="B1808" s="98">
        <v>2013</v>
      </c>
      <c r="C1808" s="98">
        <v>43.882004999999999</v>
      </c>
    </row>
    <row r="1809" spans="1:3" x14ac:dyDescent="0.3">
      <c r="A1809" s="98" t="s">
        <v>143</v>
      </c>
      <c r="B1809" s="98">
        <v>2014</v>
      </c>
      <c r="C1809" s="98">
        <v>46.747700000000002</v>
      </c>
    </row>
    <row r="1810" spans="1:3" x14ac:dyDescent="0.3">
      <c r="A1810" s="98" t="s">
        <v>143</v>
      </c>
      <c r="B1810" s="98">
        <v>2015</v>
      </c>
      <c r="C1810" s="98">
        <v>56.696978000000001</v>
      </c>
    </row>
    <row r="1811" spans="1:3" x14ac:dyDescent="0.3">
      <c r="A1811" s="98" t="s">
        <v>143</v>
      </c>
      <c r="B1811" s="98">
        <v>2016</v>
      </c>
      <c r="C1811" s="98">
        <v>67.394354000000007</v>
      </c>
    </row>
    <row r="1812" spans="1:3" x14ac:dyDescent="0.3">
      <c r="A1812" s="98" t="s">
        <v>143</v>
      </c>
      <c r="B1812" s="98">
        <v>2017</v>
      </c>
      <c r="C1812" s="98">
        <v>63.687100000000001</v>
      </c>
    </row>
    <row r="1813" spans="1:3" x14ac:dyDescent="0.3">
      <c r="A1813" s="98" t="s">
        <v>143</v>
      </c>
      <c r="B1813" s="98">
        <v>2018</v>
      </c>
      <c r="C1813" s="98">
        <v>77.188100000000006</v>
      </c>
    </row>
    <row r="1814" spans="1:3" x14ac:dyDescent="0.3">
      <c r="A1814" s="98" t="s">
        <v>143</v>
      </c>
      <c r="B1814" s="98">
        <v>2019</v>
      </c>
      <c r="C1814" s="98">
        <v>91.984164000000007</v>
      </c>
    </row>
    <row r="1815" spans="1:3" x14ac:dyDescent="0.3">
      <c r="A1815" s="98" t="s">
        <v>143</v>
      </c>
      <c r="B1815" s="98">
        <v>2020</v>
      </c>
      <c r="C1815" s="98">
        <v>72.160499999999999</v>
      </c>
    </row>
    <row r="1816" spans="1:3" x14ac:dyDescent="0.3">
      <c r="A1816" s="98" t="s">
        <v>143</v>
      </c>
      <c r="B1816" s="98">
        <v>2021</v>
      </c>
      <c r="C1816" s="98">
        <v>99.866699999999994</v>
      </c>
    </row>
    <row r="1817" spans="1:3" x14ac:dyDescent="0.3">
      <c r="A1817" s="98" t="s">
        <v>143</v>
      </c>
      <c r="B1817" s="98">
        <v>2022</v>
      </c>
      <c r="C1817" s="98">
        <v>145.37</v>
      </c>
    </row>
    <row r="1818" spans="1:3" x14ac:dyDescent="0.3">
      <c r="A1818" s="98" t="s">
        <v>144</v>
      </c>
      <c r="B1818" s="98">
        <v>2001</v>
      </c>
      <c r="C1818" s="98">
        <v>15.919700000000001</v>
      </c>
    </row>
    <row r="1819" spans="1:3" x14ac:dyDescent="0.3">
      <c r="A1819" s="98" t="s">
        <v>144</v>
      </c>
      <c r="B1819" s="98">
        <v>2002</v>
      </c>
      <c r="C1819" s="98">
        <v>16.923300000000001</v>
      </c>
    </row>
    <row r="1820" spans="1:3" x14ac:dyDescent="0.3">
      <c r="A1820" s="98" t="s">
        <v>144</v>
      </c>
      <c r="B1820" s="98">
        <v>2003</v>
      </c>
      <c r="C1820" s="98">
        <v>17.748200000000001</v>
      </c>
    </row>
    <row r="1821" spans="1:3" x14ac:dyDescent="0.3">
      <c r="A1821" s="98" t="s">
        <v>144</v>
      </c>
      <c r="B1821" s="98">
        <v>2004</v>
      </c>
      <c r="C1821" s="98">
        <v>18.6328</v>
      </c>
    </row>
    <row r="1822" spans="1:3" x14ac:dyDescent="0.3">
      <c r="A1822" s="98" t="s">
        <v>144</v>
      </c>
      <c r="B1822" s="98">
        <v>2005</v>
      </c>
      <c r="C1822" s="98">
        <v>18.895199999999999</v>
      </c>
    </row>
    <row r="1823" spans="1:3" x14ac:dyDescent="0.3">
      <c r="A1823" s="98" t="s">
        <v>144</v>
      </c>
      <c r="B1823" s="98">
        <v>2006</v>
      </c>
      <c r="C1823" s="98">
        <v>18.895199999999999</v>
      </c>
    </row>
    <row r="1824" spans="1:3" x14ac:dyDescent="0.3">
      <c r="A1824" s="98" t="s">
        <v>144</v>
      </c>
      <c r="B1824" s="98">
        <v>2007</v>
      </c>
      <c r="C1824" s="98">
        <v>18.895099999999999</v>
      </c>
    </row>
    <row r="1825" spans="1:3" x14ac:dyDescent="0.3">
      <c r="A1825" s="98" t="s">
        <v>144</v>
      </c>
      <c r="B1825" s="98">
        <v>2008</v>
      </c>
      <c r="C1825" s="98">
        <v>18.895099999999999</v>
      </c>
    </row>
    <row r="1826" spans="1:3" x14ac:dyDescent="0.3">
      <c r="A1826" s="98" t="s">
        <v>144</v>
      </c>
      <c r="B1826" s="98">
        <v>2009</v>
      </c>
      <c r="C1826" s="98">
        <v>18.895099999999999</v>
      </c>
    </row>
    <row r="1827" spans="1:3" x14ac:dyDescent="0.3">
      <c r="A1827" s="98" t="s">
        <v>144</v>
      </c>
      <c r="B1827" s="98">
        <v>2010</v>
      </c>
      <c r="C1827" s="98">
        <v>18.895099999999999</v>
      </c>
    </row>
    <row r="1828" spans="1:3" x14ac:dyDescent="0.3">
      <c r="A1828" s="98" t="s">
        <v>144</v>
      </c>
      <c r="B1828" s="98">
        <v>2011</v>
      </c>
      <c r="C1828" s="98">
        <v>19.048400000000001</v>
      </c>
    </row>
    <row r="1829" spans="1:3" x14ac:dyDescent="0.3">
      <c r="A1829" s="98" t="s">
        <v>144</v>
      </c>
      <c r="B1829" s="98">
        <v>2012</v>
      </c>
      <c r="C1829" s="98">
        <v>19.962299999999999</v>
      </c>
    </row>
    <row r="1830" spans="1:3" x14ac:dyDescent="0.3">
      <c r="A1830" s="98" t="s">
        <v>144</v>
      </c>
      <c r="B1830" s="98">
        <v>2013</v>
      </c>
      <c r="C1830" s="98">
        <v>20.5975</v>
      </c>
    </row>
    <row r="1831" spans="1:3" x14ac:dyDescent="0.3">
      <c r="A1831" s="98" t="s">
        <v>144</v>
      </c>
      <c r="B1831" s="98">
        <v>2014</v>
      </c>
      <c r="C1831" s="98">
        <v>21.5124</v>
      </c>
    </row>
    <row r="1832" spans="1:3" x14ac:dyDescent="0.3">
      <c r="A1832" s="98" t="s">
        <v>144</v>
      </c>
      <c r="B1832" s="98">
        <v>2015</v>
      </c>
      <c r="C1832" s="98">
        <v>22.367599999999999</v>
      </c>
    </row>
    <row r="1833" spans="1:3" x14ac:dyDescent="0.3">
      <c r="A1833" s="98" t="s">
        <v>144</v>
      </c>
      <c r="B1833" s="98">
        <v>2016</v>
      </c>
      <c r="C1833" s="98">
        <v>23.5029</v>
      </c>
    </row>
    <row r="1834" spans="1:3" x14ac:dyDescent="0.3">
      <c r="A1834" s="98" t="s">
        <v>144</v>
      </c>
      <c r="B1834" s="98">
        <v>2017</v>
      </c>
      <c r="C1834" s="98">
        <v>23.587900000000001</v>
      </c>
    </row>
    <row r="1835" spans="1:3" x14ac:dyDescent="0.3">
      <c r="A1835" s="98" t="s">
        <v>144</v>
      </c>
      <c r="B1835" s="98">
        <v>2018</v>
      </c>
      <c r="C1835" s="98">
        <v>24.338799999999999</v>
      </c>
    </row>
    <row r="1836" spans="1:3" x14ac:dyDescent="0.3">
      <c r="A1836" s="98" t="s">
        <v>144</v>
      </c>
      <c r="B1836" s="98">
        <v>2019</v>
      </c>
      <c r="C1836" s="98">
        <v>24.635000000000002</v>
      </c>
    </row>
    <row r="1837" spans="1:3" x14ac:dyDescent="0.3">
      <c r="A1837" s="98" t="s">
        <v>144</v>
      </c>
      <c r="B1837" s="98">
        <v>2020</v>
      </c>
      <c r="C1837" s="98">
        <v>24.114100000000001</v>
      </c>
    </row>
    <row r="1838" spans="1:3" x14ac:dyDescent="0.3">
      <c r="A1838" s="98" t="s">
        <v>144</v>
      </c>
      <c r="B1838" s="98">
        <v>2021</v>
      </c>
      <c r="C1838" s="98">
        <v>24.345400000000001</v>
      </c>
    </row>
    <row r="1839" spans="1:3" x14ac:dyDescent="0.3">
      <c r="A1839" s="98" t="s">
        <v>144</v>
      </c>
      <c r="B1839" s="98">
        <v>2022</v>
      </c>
      <c r="C1839" s="98">
        <v>24.597799999999999</v>
      </c>
    </row>
    <row r="1840" spans="1:3" x14ac:dyDescent="0.3">
      <c r="A1840" s="98" t="s">
        <v>37</v>
      </c>
      <c r="B1840" s="98">
        <v>2001</v>
      </c>
      <c r="C1840" s="98">
        <v>279.02999999999997</v>
      </c>
    </row>
    <row r="1841" spans="1:3" x14ac:dyDescent="0.3">
      <c r="A1841" s="98" t="s">
        <v>37</v>
      </c>
      <c r="B1841" s="98">
        <v>2002</v>
      </c>
      <c r="C1841" s="98">
        <v>225.16</v>
      </c>
    </row>
    <row r="1842" spans="1:3" x14ac:dyDescent="0.3">
      <c r="A1842" s="98" t="s">
        <v>37</v>
      </c>
      <c r="B1842" s="98">
        <v>2003</v>
      </c>
      <c r="C1842" s="98">
        <v>207.92</v>
      </c>
    </row>
    <row r="1843" spans="1:3" x14ac:dyDescent="0.3">
      <c r="A1843" s="98" t="s">
        <v>37</v>
      </c>
      <c r="B1843" s="98">
        <v>2004</v>
      </c>
      <c r="C1843" s="98">
        <v>180.29</v>
      </c>
    </row>
    <row r="1844" spans="1:3" x14ac:dyDescent="0.3">
      <c r="A1844" s="98" t="s">
        <v>37</v>
      </c>
      <c r="B1844" s="98">
        <v>2005</v>
      </c>
      <c r="C1844" s="98">
        <v>213.58</v>
      </c>
    </row>
    <row r="1845" spans="1:3" x14ac:dyDescent="0.3">
      <c r="A1845" s="98" t="s">
        <v>37</v>
      </c>
      <c r="B1845" s="98">
        <v>2006</v>
      </c>
      <c r="C1845" s="98">
        <v>191.62</v>
      </c>
    </row>
    <row r="1846" spans="1:3" x14ac:dyDescent="0.3">
      <c r="A1846" s="98" t="s">
        <v>37</v>
      </c>
      <c r="B1846" s="98">
        <v>2007</v>
      </c>
      <c r="C1846" s="98">
        <v>172.61</v>
      </c>
    </row>
    <row r="1847" spans="1:3" x14ac:dyDescent="0.3">
      <c r="A1847" s="98" t="s">
        <v>37</v>
      </c>
      <c r="B1847" s="98">
        <v>2008</v>
      </c>
      <c r="C1847" s="98">
        <v>187.91</v>
      </c>
    </row>
    <row r="1848" spans="1:3" x14ac:dyDescent="0.3">
      <c r="A1848" s="98" t="s">
        <v>37</v>
      </c>
      <c r="B1848" s="98">
        <v>2009</v>
      </c>
      <c r="C1848" s="98">
        <v>188.07</v>
      </c>
    </row>
    <row r="1849" spans="1:3" x14ac:dyDescent="0.3">
      <c r="A1849" s="98" t="s">
        <v>37</v>
      </c>
      <c r="B1849" s="98">
        <v>2010</v>
      </c>
      <c r="C1849" s="98">
        <v>208.65</v>
      </c>
    </row>
    <row r="1850" spans="1:3" x14ac:dyDescent="0.3">
      <c r="A1850" s="98" t="s">
        <v>37</v>
      </c>
      <c r="B1850" s="98">
        <v>2011</v>
      </c>
      <c r="C1850" s="98">
        <v>240.68</v>
      </c>
    </row>
    <row r="1851" spans="1:3" x14ac:dyDescent="0.3">
      <c r="A1851" s="98" t="s">
        <v>37</v>
      </c>
      <c r="B1851" s="98">
        <v>2012</v>
      </c>
      <c r="C1851" s="98">
        <v>220.93</v>
      </c>
    </row>
    <row r="1852" spans="1:3" x14ac:dyDescent="0.3">
      <c r="A1852" s="98" t="s">
        <v>37</v>
      </c>
      <c r="B1852" s="98">
        <v>2013</v>
      </c>
      <c r="C1852" s="98">
        <v>215.67</v>
      </c>
    </row>
    <row r="1853" spans="1:3" x14ac:dyDescent="0.3">
      <c r="A1853" s="98" t="s">
        <v>37</v>
      </c>
      <c r="B1853" s="98">
        <v>2014</v>
      </c>
      <c r="C1853" s="98">
        <v>259.13</v>
      </c>
    </row>
    <row r="1854" spans="1:3" x14ac:dyDescent="0.3">
      <c r="A1854" s="98" t="s">
        <v>37</v>
      </c>
      <c r="B1854" s="98">
        <v>2015</v>
      </c>
      <c r="C1854" s="98">
        <v>286.63</v>
      </c>
    </row>
    <row r="1855" spans="1:3" x14ac:dyDescent="0.3">
      <c r="A1855" s="98" t="s">
        <v>37</v>
      </c>
      <c r="B1855" s="98">
        <v>2016</v>
      </c>
      <c r="C1855" s="98">
        <v>293.69</v>
      </c>
    </row>
    <row r="1856" spans="1:3" x14ac:dyDescent="0.3">
      <c r="A1856" s="98" t="s">
        <v>37</v>
      </c>
      <c r="B1856" s="98">
        <v>2017</v>
      </c>
      <c r="C1856" s="98">
        <v>258.82</v>
      </c>
    </row>
    <row r="1857" spans="1:3" x14ac:dyDescent="0.3">
      <c r="A1857" s="98" t="s">
        <v>37</v>
      </c>
      <c r="B1857" s="98">
        <v>2018</v>
      </c>
      <c r="C1857" s="98">
        <v>280.94</v>
      </c>
    </row>
    <row r="1858" spans="1:3" x14ac:dyDescent="0.3">
      <c r="A1858" s="98" t="s">
        <v>37</v>
      </c>
      <c r="B1858" s="98">
        <v>2019</v>
      </c>
      <c r="C1858" s="98">
        <v>294.74</v>
      </c>
    </row>
    <row r="1859" spans="1:3" x14ac:dyDescent="0.3">
      <c r="A1859" s="98" t="s">
        <v>37</v>
      </c>
      <c r="B1859" s="98">
        <v>2020</v>
      </c>
      <c r="C1859" s="98">
        <v>297.36</v>
      </c>
    </row>
    <row r="1860" spans="1:3" x14ac:dyDescent="0.3">
      <c r="A1860" s="98" t="s">
        <v>37</v>
      </c>
      <c r="B1860" s="98">
        <v>2021</v>
      </c>
      <c r="C1860" s="98">
        <v>325.70999999999998</v>
      </c>
    </row>
    <row r="1861" spans="1:3" x14ac:dyDescent="0.3">
      <c r="A1861" s="98" t="s">
        <v>37</v>
      </c>
      <c r="B1861" s="98">
        <v>2022</v>
      </c>
      <c r="C1861" s="98">
        <v>375.68</v>
      </c>
    </row>
    <row r="1862" spans="1:3" x14ac:dyDescent="0.3">
      <c r="A1862" s="98" t="s">
        <v>145</v>
      </c>
      <c r="B1862" s="98">
        <v>2001</v>
      </c>
      <c r="C1862" s="98">
        <v>102.95</v>
      </c>
    </row>
    <row r="1863" spans="1:3" x14ac:dyDescent="0.3">
      <c r="A1863" s="98" t="s">
        <v>145</v>
      </c>
      <c r="B1863" s="98">
        <v>2002</v>
      </c>
      <c r="C1863" s="98">
        <v>80.58</v>
      </c>
    </row>
    <row r="1864" spans="1:3" x14ac:dyDescent="0.3">
      <c r="A1864" s="98" t="s">
        <v>145</v>
      </c>
      <c r="B1864" s="98">
        <v>2003</v>
      </c>
      <c r="C1864" s="98">
        <v>70.989999999999995</v>
      </c>
    </row>
    <row r="1865" spans="1:3" x14ac:dyDescent="0.3">
      <c r="A1865" s="98" t="s">
        <v>145</v>
      </c>
      <c r="B1865" s="98">
        <v>2004</v>
      </c>
      <c r="C1865" s="98">
        <v>61.04</v>
      </c>
    </row>
    <row r="1866" spans="1:3" x14ac:dyDescent="0.3">
      <c r="A1866" s="98" t="s">
        <v>145</v>
      </c>
      <c r="B1866" s="98">
        <v>2005</v>
      </c>
      <c r="C1866" s="98">
        <v>62.98</v>
      </c>
    </row>
    <row r="1867" spans="1:3" x14ac:dyDescent="0.3">
      <c r="A1867" s="98" t="s">
        <v>145</v>
      </c>
      <c r="B1867" s="98">
        <v>2006</v>
      </c>
      <c r="C1867" s="98">
        <v>71.66</v>
      </c>
    </row>
    <row r="1868" spans="1:3" x14ac:dyDescent="0.3">
      <c r="A1868" s="98" t="s">
        <v>145</v>
      </c>
      <c r="B1868" s="98">
        <v>2007</v>
      </c>
      <c r="C1868" s="98">
        <v>61.85</v>
      </c>
    </row>
    <row r="1869" spans="1:3" x14ac:dyDescent="0.3">
      <c r="A1869" s="98" t="s">
        <v>145</v>
      </c>
      <c r="B1869" s="98">
        <v>2008</v>
      </c>
      <c r="C1869" s="98">
        <v>120.58</v>
      </c>
    </row>
    <row r="1870" spans="1:3" x14ac:dyDescent="0.3">
      <c r="A1870" s="98" t="s">
        <v>145</v>
      </c>
      <c r="B1870" s="98">
        <v>2009</v>
      </c>
      <c r="C1870" s="98">
        <v>124.9</v>
      </c>
    </row>
    <row r="1871" spans="1:3" x14ac:dyDescent="0.3">
      <c r="A1871" s="98" t="s">
        <v>145</v>
      </c>
      <c r="B1871" s="98">
        <v>2010</v>
      </c>
      <c r="C1871" s="98">
        <v>115.05</v>
      </c>
    </row>
    <row r="1872" spans="1:3" x14ac:dyDescent="0.3">
      <c r="A1872" s="98" t="s">
        <v>145</v>
      </c>
      <c r="B1872" s="98">
        <v>2011</v>
      </c>
      <c r="C1872" s="98">
        <v>122.71</v>
      </c>
    </row>
    <row r="1873" spans="1:3" x14ac:dyDescent="0.3">
      <c r="A1873" s="98" t="s">
        <v>145</v>
      </c>
      <c r="B1873" s="98">
        <v>2012</v>
      </c>
      <c r="C1873" s="98">
        <v>128.99</v>
      </c>
    </row>
    <row r="1874" spans="1:3" x14ac:dyDescent="0.3">
      <c r="A1874" s="98" t="s">
        <v>145</v>
      </c>
      <c r="B1874" s="98">
        <v>2013</v>
      </c>
      <c r="C1874" s="98">
        <v>115.55</v>
      </c>
    </row>
    <row r="1875" spans="1:3" x14ac:dyDescent="0.3">
      <c r="A1875" s="98" t="s">
        <v>145</v>
      </c>
      <c r="B1875" s="98">
        <v>2014</v>
      </c>
      <c r="C1875" s="98">
        <v>126.9</v>
      </c>
    </row>
    <row r="1876" spans="1:3" x14ac:dyDescent="0.3">
      <c r="A1876" s="98" t="s">
        <v>145</v>
      </c>
      <c r="B1876" s="98">
        <v>2015</v>
      </c>
      <c r="C1876" s="98">
        <v>129.59</v>
      </c>
    </row>
    <row r="1877" spans="1:3" x14ac:dyDescent="0.3">
      <c r="A1877" s="98" t="s">
        <v>145</v>
      </c>
      <c r="B1877" s="98">
        <v>2016</v>
      </c>
      <c r="C1877" s="98">
        <v>112.82</v>
      </c>
    </row>
    <row r="1878" spans="1:3" x14ac:dyDescent="0.3">
      <c r="A1878" s="98" t="s">
        <v>145</v>
      </c>
      <c r="B1878" s="98">
        <v>2017</v>
      </c>
      <c r="C1878" s="98">
        <v>104.42</v>
      </c>
    </row>
    <row r="1879" spans="1:3" x14ac:dyDescent="0.3">
      <c r="A1879" s="98" t="s">
        <v>145</v>
      </c>
      <c r="B1879" s="98">
        <v>2018</v>
      </c>
      <c r="C1879" s="98">
        <v>116.33</v>
      </c>
    </row>
    <row r="1880" spans="1:3" x14ac:dyDescent="0.3">
      <c r="A1880" s="98" t="s">
        <v>145</v>
      </c>
      <c r="B1880" s="98">
        <v>2019</v>
      </c>
      <c r="C1880" s="98">
        <v>121.1</v>
      </c>
    </row>
    <row r="1881" spans="1:3" x14ac:dyDescent="0.3">
      <c r="A1881" s="98" t="s">
        <v>145</v>
      </c>
      <c r="B1881" s="98">
        <v>2020</v>
      </c>
      <c r="C1881" s="98">
        <v>127.21</v>
      </c>
    </row>
    <row r="1882" spans="1:3" x14ac:dyDescent="0.3">
      <c r="A1882" s="98" t="s">
        <v>145</v>
      </c>
      <c r="B1882" s="98">
        <v>2021</v>
      </c>
      <c r="C1882" s="98">
        <v>130.38</v>
      </c>
    </row>
    <row r="1883" spans="1:3" x14ac:dyDescent="0.3">
      <c r="A1883" s="98" t="s">
        <v>145</v>
      </c>
      <c r="B1883" s="98">
        <v>2022</v>
      </c>
      <c r="C1883" s="98">
        <v>142.04</v>
      </c>
    </row>
    <row r="1884" spans="1:3" x14ac:dyDescent="0.3">
      <c r="A1884" s="98" t="s">
        <v>146</v>
      </c>
      <c r="B1884" s="98">
        <v>2001</v>
      </c>
      <c r="C1884" s="98">
        <v>48.18</v>
      </c>
    </row>
    <row r="1885" spans="1:3" x14ac:dyDescent="0.3">
      <c r="A1885" s="98" t="s">
        <v>146</v>
      </c>
      <c r="B1885" s="98">
        <v>2002</v>
      </c>
      <c r="C1885" s="98">
        <v>48.03</v>
      </c>
    </row>
    <row r="1886" spans="1:3" x14ac:dyDescent="0.3">
      <c r="A1886" s="98" t="s">
        <v>146</v>
      </c>
      <c r="B1886" s="98">
        <v>2003</v>
      </c>
      <c r="C1886" s="98">
        <v>45.604999999999997</v>
      </c>
    </row>
    <row r="1887" spans="1:3" x14ac:dyDescent="0.3">
      <c r="A1887" s="98" t="s">
        <v>146</v>
      </c>
      <c r="B1887" s="98">
        <v>2004</v>
      </c>
      <c r="C1887" s="98">
        <v>43.585000000000001</v>
      </c>
    </row>
    <row r="1888" spans="1:3" x14ac:dyDescent="0.3">
      <c r="A1888" s="98" t="s">
        <v>146</v>
      </c>
      <c r="B1888" s="98">
        <v>2005</v>
      </c>
      <c r="C1888" s="98">
        <v>45.064999999999998</v>
      </c>
    </row>
    <row r="1889" spans="1:3" x14ac:dyDescent="0.3">
      <c r="A1889" s="98" t="s">
        <v>146</v>
      </c>
      <c r="B1889" s="98">
        <v>2006</v>
      </c>
      <c r="C1889" s="98">
        <v>44.244999999999997</v>
      </c>
    </row>
    <row r="1890" spans="1:3" x14ac:dyDescent="0.3">
      <c r="A1890" s="98" t="s">
        <v>146</v>
      </c>
      <c r="B1890" s="98">
        <v>2007</v>
      </c>
      <c r="C1890" s="98">
        <v>39.414999999999999</v>
      </c>
    </row>
    <row r="1891" spans="1:3" x14ac:dyDescent="0.3">
      <c r="A1891" s="98" t="s">
        <v>146</v>
      </c>
      <c r="B1891" s="98">
        <v>2008</v>
      </c>
      <c r="C1891" s="98">
        <v>48.454999999999998</v>
      </c>
    </row>
    <row r="1892" spans="1:3" x14ac:dyDescent="0.3">
      <c r="A1892" s="98" t="s">
        <v>146</v>
      </c>
      <c r="B1892" s="98">
        <v>2009</v>
      </c>
      <c r="C1892" s="98">
        <v>46.68</v>
      </c>
    </row>
    <row r="1893" spans="1:3" x14ac:dyDescent="0.3">
      <c r="A1893" s="98" t="s">
        <v>146</v>
      </c>
      <c r="B1893" s="98">
        <v>2010</v>
      </c>
      <c r="C1893" s="98">
        <v>44.81</v>
      </c>
    </row>
    <row r="1894" spans="1:3" x14ac:dyDescent="0.3">
      <c r="A1894" s="98" t="s">
        <v>146</v>
      </c>
      <c r="B1894" s="98">
        <v>2011</v>
      </c>
      <c r="C1894" s="98">
        <v>53.26</v>
      </c>
    </row>
    <row r="1895" spans="1:3" x14ac:dyDescent="0.3">
      <c r="A1895" s="98" t="s">
        <v>146</v>
      </c>
      <c r="B1895" s="98">
        <v>2012</v>
      </c>
      <c r="C1895" s="98">
        <v>54.777299999999997</v>
      </c>
    </row>
    <row r="1896" spans="1:3" x14ac:dyDescent="0.3">
      <c r="A1896" s="98" t="s">
        <v>146</v>
      </c>
      <c r="B1896" s="98">
        <v>2013</v>
      </c>
      <c r="C1896" s="98">
        <v>61.896999999999998</v>
      </c>
    </row>
    <row r="1897" spans="1:3" x14ac:dyDescent="0.3">
      <c r="A1897" s="98" t="s">
        <v>146</v>
      </c>
      <c r="B1897" s="98">
        <v>2014</v>
      </c>
      <c r="C1897" s="98">
        <v>63.331499999999998</v>
      </c>
    </row>
    <row r="1898" spans="1:3" x14ac:dyDescent="0.3">
      <c r="A1898" s="98" t="s">
        <v>146</v>
      </c>
      <c r="B1898" s="98">
        <v>2015</v>
      </c>
      <c r="C1898" s="98">
        <v>66.325999999999993</v>
      </c>
    </row>
    <row r="1899" spans="1:3" x14ac:dyDescent="0.3">
      <c r="A1899" s="98" t="s">
        <v>146</v>
      </c>
      <c r="B1899" s="98">
        <v>2016</v>
      </c>
      <c r="C1899" s="98">
        <v>67.954700000000003</v>
      </c>
    </row>
    <row r="1900" spans="1:3" x14ac:dyDescent="0.3">
      <c r="A1900" s="98" t="s">
        <v>146</v>
      </c>
      <c r="B1900" s="98">
        <v>2017</v>
      </c>
      <c r="C1900" s="98">
        <v>63.927300000000002</v>
      </c>
    </row>
    <row r="1901" spans="1:3" x14ac:dyDescent="0.3">
      <c r="A1901" s="98" t="s">
        <v>146</v>
      </c>
      <c r="B1901" s="98">
        <v>2018</v>
      </c>
      <c r="C1901" s="98">
        <v>69.792299999999997</v>
      </c>
    </row>
    <row r="1902" spans="1:3" x14ac:dyDescent="0.3">
      <c r="A1902" s="98" t="s">
        <v>146</v>
      </c>
      <c r="B1902" s="98">
        <v>2019</v>
      </c>
      <c r="C1902" s="98">
        <v>71.274000000000001</v>
      </c>
    </row>
    <row r="1903" spans="1:3" x14ac:dyDescent="0.3">
      <c r="A1903" s="98" t="s">
        <v>146</v>
      </c>
      <c r="B1903" s="98">
        <v>2020</v>
      </c>
      <c r="C1903" s="98">
        <v>73.053600000000003</v>
      </c>
    </row>
    <row r="1904" spans="1:3" x14ac:dyDescent="0.3">
      <c r="A1904" s="98" t="s">
        <v>146</v>
      </c>
      <c r="B1904" s="98">
        <v>2021</v>
      </c>
      <c r="C1904" s="98">
        <v>74.302499999999995</v>
      </c>
    </row>
    <row r="1905" spans="1:3" x14ac:dyDescent="0.3">
      <c r="A1905" s="98" t="s">
        <v>146</v>
      </c>
      <c r="B1905" s="98">
        <v>2022</v>
      </c>
      <c r="C1905" s="98">
        <v>82.786199999999994</v>
      </c>
    </row>
    <row r="1906" spans="1:3" x14ac:dyDescent="0.3">
      <c r="A1906" s="98" t="s">
        <v>147</v>
      </c>
      <c r="B1906" s="98">
        <v>2001</v>
      </c>
      <c r="C1906" s="98">
        <v>10400</v>
      </c>
    </row>
    <row r="1907" spans="1:3" x14ac:dyDescent="0.3">
      <c r="A1907" s="98" t="s">
        <v>147</v>
      </c>
      <c r="B1907" s="98">
        <v>2002</v>
      </c>
      <c r="C1907" s="98">
        <v>8940</v>
      </c>
    </row>
    <row r="1908" spans="1:3" x14ac:dyDescent="0.3">
      <c r="A1908" s="98" t="s">
        <v>147</v>
      </c>
      <c r="B1908" s="98">
        <v>2003</v>
      </c>
      <c r="C1908" s="98">
        <v>8465</v>
      </c>
    </row>
    <row r="1909" spans="1:3" x14ac:dyDescent="0.3">
      <c r="A1909" s="98" t="s">
        <v>147</v>
      </c>
      <c r="B1909" s="98">
        <v>2004</v>
      </c>
      <c r="C1909" s="98">
        <v>9290</v>
      </c>
    </row>
    <row r="1910" spans="1:3" x14ac:dyDescent="0.3">
      <c r="A1910" s="98" t="s">
        <v>147</v>
      </c>
      <c r="B1910" s="98">
        <v>2005</v>
      </c>
      <c r="C1910" s="98">
        <v>9830</v>
      </c>
    </row>
    <row r="1911" spans="1:3" x14ac:dyDescent="0.3">
      <c r="A1911" s="98" t="s">
        <v>147</v>
      </c>
      <c r="B1911" s="98">
        <v>2006</v>
      </c>
      <c r="C1911" s="98">
        <v>9020</v>
      </c>
    </row>
    <row r="1912" spans="1:3" x14ac:dyDescent="0.3">
      <c r="A1912" s="98" t="s">
        <v>147</v>
      </c>
      <c r="B1912" s="98">
        <v>2007</v>
      </c>
      <c r="C1912" s="98">
        <v>9419</v>
      </c>
    </row>
    <row r="1913" spans="1:3" x14ac:dyDescent="0.3">
      <c r="A1913" s="98" t="s">
        <v>147</v>
      </c>
      <c r="B1913" s="98">
        <v>2008</v>
      </c>
      <c r="C1913" s="98">
        <v>10950</v>
      </c>
    </row>
    <row r="1914" spans="1:3" x14ac:dyDescent="0.3">
      <c r="A1914" s="98" t="s">
        <v>147</v>
      </c>
      <c r="B1914" s="98">
        <v>2009</v>
      </c>
      <c r="C1914" s="98">
        <v>9400</v>
      </c>
    </row>
    <row r="1915" spans="1:3" x14ac:dyDescent="0.3">
      <c r="A1915" s="98" t="s">
        <v>147</v>
      </c>
      <c r="B1915" s="98">
        <v>2010</v>
      </c>
      <c r="C1915" s="98">
        <v>8991</v>
      </c>
    </row>
    <row r="1916" spans="1:3" x14ac:dyDescent="0.3">
      <c r="A1916" s="98" t="s">
        <v>147</v>
      </c>
      <c r="B1916" s="98">
        <v>2011</v>
      </c>
      <c r="C1916" s="98">
        <v>9068</v>
      </c>
    </row>
    <row r="1917" spans="1:3" x14ac:dyDescent="0.3">
      <c r="A1917" s="98" t="s">
        <v>147</v>
      </c>
      <c r="B1917" s="98">
        <v>2012</v>
      </c>
      <c r="C1917" s="98">
        <v>9670</v>
      </c>
    </row>
    <row r="1918" spans="1:3" x14ac:dyDescent="0.3">
      <c r="A1918" s="98" t="s">
        <v>147</v>
      </c>
      <c r="B1918" s="98">
        <v>2013</v>
      </c>
      <c r="C1918" s="98">
        <v>12189</v>
      </c>
    </row>
    <row r="1919" spans="1:3" x14ac:dyDescent="0.3">
      <c r="A1919" s="98" t="s">
        <v>147</v>
      </c>
      <c r="B1919" s="98">
        <v>2014</v>
      </c>
      <c r="C1919" s="98">
        <v>12440</v>
      </c>
    </row>
    <row r="1920" spans="1:3" x14ac:dyDescent="0.3">
      <c r="A1920" s="98" t="s">
        <v>147</v>
      </c>
      <c r="B1920" s="98">
        <v>2015</v>
      </c>
      <c r="C1920" s="98">
        <v>13795</v>
      </c>
    </row>
    <row r="1921" spans="1:3" x14ac:dyDescent="0.3">
      <c r="A1921" s="98" t="s">
        <v>147</v>
      </c>
      <c r="B1921" s="98">
        <v>2016</v>
      </c>
      <c r="C1921" s="98">
        <v>13436</v>
      </c>
    </row>
    <row r="1922" spans="1:3" x14ac:dyDescent="0.3">
      <c r="A1922" s="98" t="s">
        <v>147</v>
      </c>
      <c r="B1922" s="98">
        <v>2017</v>
      </c>
      <c r="C1922" s="98">
        <v>13548</v>
      </c>
    </row>
    <row r="1923" spans="1:3" x14ac:dyDescent="0.3">
      <c r="A1923" s="98" t="s">
        <v>147</v>
      </c>
      <c r="B1923" s="98">
        <v>2018</v>
      </c>
      <c r="C1923" s="98">
        <v>14481</v>
      </c>
    </row>
    <row r="1924" spans="1:3" x14ac:dyDescent="0.3">
      <c r="A1924" s="98" t="s">
        <v>147</v>
      </c>
      <c r="B1924" s="98">
        <v>2019</v>
      </c>
      <c r="C1924" s="98">
        <v>13901.004999999999</v>
      </c>
    </row>
    <row r="1925" spans="1:3" x14ac:dyDescent="0.3">
      <c r="A1925" s="98" t="s">
        <v>147</v>
      </c>
      <c r="B1925" s="98">
        <v>2020</v>
      </c>
      <c r="C1925" s="98">
        <v>14105.004999999999</v>
      </c>
    </row>
    <row r="1926" spans="1:3" x14ac:dyDescent="0.3">
      <c r="A1926" s="98" t="s">
        <v>147</v>
      </c>
      <c r="B1926" s="98">
        <v>2021</v>
      </c>
      <c r="C1926" s="98">
        <v>14269.004999999999</v>
      </c>
    </row>
    <row r="1927" spans="1:3" x14ac:dyDescent="0.3">
      <c r="A1927" s="98" t="s">
        <v>147</v>
      </c>
      <c r="B1927" s="98">
        <v>2022</v>
      </c>
      <c r="C1927" s="98">
        <v>15731</v>
      </c>
    </row>
    <row r="1928" spans="1:3" x14ac:dyDescent="0.3">
      <c r="A1928" s="98" t="s">
        <v>148</v>
      </c>
      <c r="B1928" s="98">
        <v>2001</v>
      </c>
      <c r="C1928" s="98">
        <v>1750.9492</v>
      </c>
    </row>
    <row r="1929" spans="1:3" x14ac:dyDescent="0.3">
      <c r="A1929" s="98" t="s">
        <v>148</v>
      </c>
      <c r="B1929" s="98">
        <v>2002</v>
      </c>
      <c r="C1929" s="98">
        <v>7951.9790999999996</v>
      </c>
    </row>
    <row r="1930" spans="1:3" x14ac:dyDescent="0.3">
      <c r="A1930" s="98" t="s">
        <v>148</v>
      </c>
      <c r="B1930" s="98">
        <v>2003</v>
      </c>
      <c r="C1930" s="98">
        <v>8272.1106</v>
      </c>
    </row>
    <row r="1931" spans="1:3" x14ac:dyDescent="0.3">
      <c r="A1931" s="98" t="s">
        <v>148</v>
      </c>
      <c r="B1931" s="98">
        <v>2004</v>
      </c>
      <c r="C1931" s="98">
        <v>8793</v>
      </c>
    </row>
    <row r="1932" spans="1:3" x14ac:dyDescent="0.3">
      <c r="A1932" s="98" t="s">
        <v>148</v>
      </c>
      <c r="B1932" s="98">
        <v>2005</v>
      </c>
      <c r="C1932" s="98">
        <v>9091</v>
      </c>
    </row>
    <row r="1933" spans="1:3" x14ac:dyDescent="0.3">
      <c r="A1933" s="98" t="s">
        <v>148</v>
      </c>
      <c r="B1933" s="98">
        <v>2006</v>
      </c>
      <c r="C1933" s="98">
        <v>9223</v>
      </c>
    </row>
    <row r="1934" spans="1:3" x14ac:dyDescent="0.3">
      <c r="A1934" s="98" t="s">
        <v>148</v>
      </c>
      <c r="B1934" s="98">
        <v>2007</v>
      </c>
      <c r="C1934" s="98">
        <v>9282</v>
      </c>
    </row>
    <row r="1935" spans="1:3" x14ac:dyDescent="0.3">
      <c r="A1935" s="98" t="s">
        <v>148</v>
      </c>
      <c r="B1935" s="98">
        <v>2008</v>
      </c>
      <c r="C1935" s="98">
        <v>9825</v>
      </c>
    </row>
    <row r="1936" spans="1:3" x14ac:dyDescent="0.3">
      <c r="A1936" s="98" t="s">
        <v>148</v>
      </c>
      <c r="B1936" s="98">
        <v>2009</v>
      </c>
      <c r="C1936" s="98">
        <v>9984</v>
      </c>
    </row>
    <row r="1937" spans="1:3" x14ac:dyDescent="0.3">
      <c r="A1937" s="98" t="s">
        <v>148</v>
      </c>
      <c r="B1937" s="98">
        <v>2010</v>
      </c>
      <c r="C1937" s="98">
        <v>10353</v>
      </c>
    </row>
    <row r="1938" spans="1:3" x14ac:dyDescent="0.3">
      <c r="A1938" s="98" t="s">
        <v>148</v>
      </c>
      <c r="B1938" s="98">
        <v>2011</v>
      </c>
      <c r="C1938" s="98">
        <v>11165</v>
      </c>
    </row>
    <row r="1939" spans="1:3" x14ac:dyDescent="0.3">
      <c r="A1939" s="98" t="s">
        <v>148</v>
      </c>
      <c r="B1939" s="98">
        <v>2012</v>
      </c>
      <c r="C1939" s="98">
        <v>12260</v>
      </c>
    </row>
    <row r="1940" spans="1:3" x14ac:dyDescent="0.3">
      <c r="A1940" s="98" t="s">
        <v>148</v>
      </c>
      <c r="B1940" s="98">
        <v>2013</v>
      </c>
      <c r="C1940" s="98">
        <v>24774</v>
      </c>
    </row>
    <row r="1941" spans="1:3" x14ac:dyDescent="0.3">
      <c r="A1941" s="98" t="s">
        <v>148</v>
      </c>
      <c r="B1941" s="98">
        <v>2014</v>
      </c>
      <c r="C1941" s="98">
        <v>27138</v>
      </c>
    </row>
    <row r="1942" spans="1:3" x14ac:dyDescent="0.3">
      <c r="A1942" s="98" t="s">
        <v>148</v>
      </c>
      <c r="B1942" s="98">
        <v>2015</v>
      </c>
      <c r="C1942" s="98">
        <v>30130</v>
      </c>
    </row>
    <row r="1943" spans="1:3" x14ac:dyDescent="0.3">
      <c r="A1943" s="98" t="s">
        <v>148</v>
      </c>
      <c r="B1943" s="98">
        <v>2016</v>
      </c>
      <c r="C1943" s="98">
        <v>32376</v>
      </c>
    </row>
    <row r="1944" spans="1:3" x14ac:dyDescent="0.3">
      <c r="A1944" s="98" t="s">
        <v>148</v>
      </c>
      <c r="B1944" s="98">
        <v>2017</v>
      </c>
      <c r="C1944" s="98">
        <v>36074</v>
      </c>
    </row>
    <row r="1945" spans="1:3" x14ac:dyDescent="0.3">
      <c r="A1945" s="98" t="s">
        <v>148</v>
      </c>
      <c r="B1945" s="98">
        <v>2018</v>
      </c>
      <c r="C1945" s="98">
        <v>42000</v>
      </c>
    </row>
    <row r="1946" spans="1:3" x14ac:dyDescent="0.3">
      <c r="A1946" s="98" t="s">
        <v>148</v>
      </c>
      <c r="B1946" s="98">
        <v>2019</v>
      </c>
      <c r="C1946" s="98">
        <v>42000</v>
      </c>
    </row>
    <row r="1947" spans="1:3" x14ac:dyDescent="0.3">
      <c r="A1947" s="98" t="s">
        <v>148</v>
      </c>
      <c r="B1947" s="98">
        <v>2020</v>
      </c>
      <c r="C1947" s="98">
        <v>42000</v>
      </c>
    </row>
    <row r="1948" spans="1:3" x14ac:dyDescent="0.3">
      <c r="A1948" s="98" t="s">
        <v>148</v>
      </c>
      <c r="B1948" s="98">
        <v>2021</v>
      </c>
      <c r="C1948" s="98">
        <v>42000</v>
      </c>
    </row>
    <row r="1949" spans="1:3" x14ac:dyDescent="0.3">
      <c r="A1949" s="98" t="s">
        <v>148</v>
      </c>
      <c r="B1949" s="98">
        <v>2022</v>
      </c>
    </row>
    <row r="1950" spans="1:3" x14ac:dyDescent="0.3">
      <c r="A1950" s="98" t="s">
        <v>149</v>
      </c>
      <c r="B1950" s="98">
        <v>2001</v>
      </c>
      <c r="C1950" s="98">
        <v>1938.6623</v>
      </c>
    </row>
    <row r="1951" spans="1:3" x14ac:dyDescent="0.3">
      <c r="A1951" s="98" t="s">
        <v>149</v>
      </c>
      <c r="B1951" s="98">
        <v>2002</v>
      </c>
      <c r="C1951" s="98">
        <v>1938.6623</v>
      </c>
    </row>
    <row r="1952" spans="1:3" x14ac:dyDescent="0.3">
      <c r="A1952" s="98" t="s">
        <v>149</v>
      </c>
      <c r="B1952" s="98">
        <v>2003</v>
      </c>
      <c r="C1952" s="98">
        <v>1685</v>
      </c>
    </row>
    <row r="1953" spans="1:3" x14ac:dyDescent="0.3">
      <c r="A1953" s="98" t="s">
        <v>149</v>
      </c>
      <c r="B1953" s="98">
        <v>2004</v>
      </c>
      <c r="C1953" s="98">
        <v>1469</v>
      </c>
    </row>
    <row r="1954" spans="1:3" x14ac:dyDescent="0.3">
      <c r="A1954" s="98" t="s">
        <v>149</v>
      </c>
      <c r="B1954" s="98">
        <v>2005</v>
      </c>
      <c r="C1954" s="98">
        <v>1487</v>
      </c>
    </row>
    <row r="1955" spans="1:3" x14ac:dyDescent="0.3">
      <c r="A1955" s="98" t="s">
        <v>149</v>
      </c>
      <c r="B1955" s="98">
        <v>2006</v>
      </c>
      <c r="C1955" s="98">
        <v>1325</v>
      </c>
    </row>
    <row r="1956" spans="1:3" x14ac:dyDescent="0.3">
      <c r="A1956" s="98" t="s">
        <v>149</v>
      </c>
      <c r="B1956" s="98">
        <v>2007</v>
      </c>
      <c r="C1956" s="98">
        <v>1215</v>
      </c>
    </row>
    <row r="1957" spans="1:3" x14ac:dyDescent="0.3">
      <c r="A1957" s="98" t="s">
        <v>149</v>
      </c>
      <c r="B1957" s="98">
        <v>2008</v>
      </c>
      <c r="C1957" s="98">
        <v>1172</v>
      </c>
    </row>
    <row r="1958" spans="1:3" x14ac:dyDescent="0.3">
      <c r="A1958" s="98" t="s">
        <v>149</v>
      </c>
      <c r="B1958" s="98">
        <v>2009</v>
      </c>
      <c r="C1958" s="98">
        <v>1170</v>
      </c>
    </row>
    <row r="1959" spans="1:3" x14ac:dyDescent="0.3">
      <c r="A1959" s="98" t="s">
        <v>149</v>
      </c>
      <c r="B1959" s="98">
        <v>2010</v>
      </c>
      <c r="C1959" s="98">
        <v>1170</v>
      </c>
    </row>
    <row r="1960" spans="1:3" x14ac:dyDescent="0.3">
      <c r="A1960" s="98" t="s">
        <v>149</v>
      </c>
      <c r="B1960" s="98">
        <v>2011</v>
      </c>
      <c r="C1960" s="98">
        <v>1170</v>
      </c>
    </row>
    <row r="1961" spans="1:3" x14ac:dyDescent="0.3">
      <c r="A1961" s="98" t="s">
        <v>149</v>
      </c>
      <c r="B1961" s="98">
        <v>2012</v>
      </c>
      <c r="C1961" s="98">
        <v>1166</v>
      </c>
    </row>
    <row r="1962" spans="1:3" x14ac:dyDescent="0.3">
      <c r="A1962" s="98" t="s">
        <v>149</v>
      </c>
      <c r="B1962" s="98">
        <v>2013</v>
      </c>
      <c r="C1962" s="98">
        <v>1166</v>
      </c>
    </row>
    <row r="1963" spans="1:3" x14ac:dyDescent="0.3">
      <c r="A1963" s="98" t="s">
        <v>149</v>
      </c>
      <c r="B1963" s="98">
        <v>2014</v>
      </c>
      <c r="C1963" s="98">
        <v>1166</v>
      </c>
    </row>
    <row r="1964" spans="1:3" x14ac:dyDescent="0.3">
      <c r="A1964" s="98" t="s">
        <v>149</v>
      </c>
      <c r="B1964" s="98">
        <v>2015</v>
      </c>
      <c r="C1964" s="98">
        <v>1182</v>
      </c>
    </row>
    <row r="1965" spans="1:3" x14ac:dyDescent="0.3">
      <c r="A1965" s="98" t="s">
        <v>149</v>
      </c>
      <c r="B1965" s="98">
        <v>2016</v>
      </c>
      <c r="C1965" s="98">
        <v>1182</v>
      </c>
    </row>
    <row r="1966" spans="1:3" x14ac:dyDescent="0.3">
      <c r="A1966" s="98" t="s">
        <v>149</v>
      </c>
      <c r="B1966" s="98">
        <v>2017</v>
      </c>
      <c r="C1966" s="98">
        <v>1184</v>
      </c>
    </row>
    <row r="1967" spans="1:3" x14ac:dyDescent="0.3">
      <c r="A1967" s="98" t="s">
        <v>149</v>
      </c>
      <c r="B1967" s="98">
        <v>2018</v>
      </c>
      <c r="C1967" s="98">
        <v>1182</v>
      </c>
    </row>
    <row r="1968" spans="1:3" x14ac:dyDescent="0.3">
      <c r="A1968" s="98" t="s">
        <v>149</v>
      </c>
      <c r="B1968" s="98">
        <v>2019</v>
      </c>
      <c r="C1968" s="98">
        <v>1182</v>
      </c>
    </row>
    <row r="1969" spans="1:3" x14ac:dyDescent="0.3">
      <c r="A1969" s="98" t="s">
        <v>149</v>
      </c>
      <c r="B1969" s="98">
        <v>2020</v>
      </c>
      <c r="C1969" s="98">
        <v>1450</v>
      </c>
    </row>
    <row r="1970" spans="1:3" x14ac:dyDescent="0.3">
      <c r="A1970" s="98" t="s">
        <v>149</v>
      </c>
      <c r="B1970" s="98">
        <v>2021</v>
      </c>
      <c r="C1970" s="98">
        <v>1450</v>
      </c>
    </row>
    <row r="1971" spans="1:3" x14ac:dyDescent="0.3">
      <c r="A1971" s="98" t="s">
        <v>149</v>
      </c>
      <c r="B1971" s="98">
        <v>2022</v>
      </c>
      <c r="C1971" s="98">
        <v>1450</v>
      </c>
    </row>
    <row r="1972" spans="1:3" x14ac:dyDescent="0.3">
      <c r="A1972" s="98" t="s">
        <v>150</v>
      </c>
      <c r="B1972" s="98">
        <v>2001</v>
      </c>
      <c r="C1972" s="98">
        <v>0.68946498000000001</v>
      </c>
    </row>
    <row r="1973" spans="1:3" x14ac:dyDescent="0.3">
      <c r="A1973" s="98" t="s">
        <v>150</v>
      </c>
      <c r="B1973" s="98">
        <v>2002</v>
      </c>
      <c r="C1973" s="98">
        <v>0.62042436999999995</v>
      </c>
    </row>
    <row r="1974" spans="1:3" x14ac:dyDescent="0.3">
      <c r="A1974" s="98" t="s">
        <v>150</v>
      </c>
      <c r="B1974" s="98">
        <v>2003</v>
      </c>
      <c r="C1974" s="98">
        <v>0.56031825999999996</v>
      </c>
    </row>
    <row r="1975" spans="1:3" x14ac:dyDescent="0.3">
      <c r="A1975" s="98" t="s">
        <v>150</v>
      </c>
      <c r="B1975" s="98">
        <v>2004</v>
      </c>
      <c r="C1975" s="98">
        <v>0.51775914000000001</v>
      </c>
    </row>
    <row r="1976" spans="1:3" x14ac:dyDescent="0.3">
      <c r="A1976" s="98" t="s">
        <v>150</v>
      </c>
      <c r="B1976" s="98">
        <v>2005</v>
      </c>
      <c r="C1976" s="98">
        <v>0.58075381999999998</v>
      </c>
    </row>
    <row r="1977" spans="1:3" x14ac:dyDescent="0.3">
      <c r="A1977" s="98" t="s">
        <v>150</v>
      </c>
      <c r="B1977" s="98">
        <v>2006</v>
      </c>
      <c r="C1977" s="98">
        <v>0.50942434999999997</v>
      </c>
    </row>
    <row r="1978" spans="1:3" x14ac:dyDescent="0.3">
      <c r="A1978" s="98" t="s">
        <v>150</v>
      </c>
      <c r="B1978" s="98">
        <v>2007</v>
      </c>
      <c r="C1978" s="98">
        <v>0.49915144</v>
      </c>
    </row>
    <row r="1979" spans="1:3" x14ac:dyDescent="0.3">
      <c r="A1979" s="98" t="s">
        <v>150</v>
      </c>
      <c r="B1979" s="98">
        <v>2008</v>
      </c>
      <c r="C1979" s="98">
        <v>0.68596515000000002</v>
      </c>
    </row>
    <row r="1980" spans="1:3" x14ac:dyDescent="0.3">
      <c r="A1980" s="98" t="s">
        <v>150</v>
      </c>
      <c r="B1980" s="98">
        <v>2009</v>
      </c>
      <c r="C1980" s="98">
        <v>0.61747452999999997</v>
      </c>
    </row>
    <row r="1981" spans="1:3" x14ac:dyDescent="0.3">
      <c r="A1981" s="98" t="s">
        <v>150</v>
      </c>
      <c r="B1981" s="98">
        <v>2010</v>
      </c>
      <c r="C1981" s="98">
        <v>0.63877355000000002</v>
      </c>
    </row>
    <row r="1982" spans="1:3" x14ac:dyDescent="0.3">
      <c r="A1982" s="98" t="s">
        <v>150</v>
      </c>
      <c r="B1982" s="98">
        <v>2011</v>
      </c>
      <c r="C1982" s="98">
        <v>0.64678869000000005</v>
      </c>
    </row>
    <row r="1983" spans="1:3" x14ac:dyDescent="0.3">
      <c r="A1983" s="98" t="s">
        <v>150</v>
      </c>
      <c r="B1983" s="98">
        <v>2012</v>
      </c>
      <c r="C1983" s="98">
        <v>0.63371356000000001</v>
      </c>
    </row>
    <row r="1984" spans="1:3" x14ac:dyDescent="0.3">
      <c r="A1984" s="98" t="s">
        <v>150</v>
      </c>
      <c r="B1984" s="98">
        <v>2013</v>
      </c>
      <c r="C1984" s="98">
        <v>0.60723828000000002</v>
      </c>
    </row>
    <row r="1985" spans="1:3" x14ac:dyDescent="0.3">
      <c r="A1985" s="98" t="s">
        <v>150</v>
      </c>
      <c r="B1985" s="98">
        <v>2014</v>
      </c>
      <c r="C1985" s="98">
        <v>0.64069708000000003</v>
      </c>
    </row>
    <row r="1986" spans="1:3" x14ac:dyDescent="0.3">
      <c r="A1986" s="98" t="s">
        <v>150</v>
      </c>
      <c r="B1986" s="98">
        <v>2015</v>
      </c>
      <c r="C1986" s="98">
        <v>0.67480936999999996</v>
      </c>
    </row>
    <row r="1987" spans="1:3" x14ac:dyDescent="0.3">
      <c r="A1987" s="98" t="s">
        <v>150</v>
      </c>
      <c r="B1987" s="98">
        <v>2016</v>
      </c>
      <c r="C1987" s="98">
        <v>0.81287595999999995</v>
      </c>
    </row>
    <row r="1988" spans="1:3" x14ac:dyDescent="0.3">
      <c r="A1988" s="98" t="s">
        <v>150</v>
      </c>
      <c r="B1988" s="98">
        <v>2017</v>
      </c>
      <c r="C1988" s="98">
        <v>0.74011028000000001</v>
      </c>
    </row>
    <row r="1989" spans="1:3" x14ac:dyDescent="0.3">
      <c r="A1989" s="98" t="s">
        <v>150</v>
      </c>
      <c r="B1989" s="98">
        <v>2018</v>
      </c>
      <c r="C1989" s="98">
        <v>0.78768066999999997</v>
      </c>
    </row>
    <row r="1990" spans="1:3" x14ac:dyDescent="0.3">
      <c r="A1990" s="98" t="s">
        <v>150</v>
      </c>
      <c r="B1990" s="98">
        <v>2019</v>
      </c>
      <c r="C1990" s="98">
        <v>0.76210798999999996</v>
      </c>
    </row>
    <row r="1991" spans="1:3" x14ac:dyDescent="0.3">
      <c r="A1991" s="98" t="s">
        <v>150</v>
      </c>
      <c r="B1991" s="98">
        <v>2020</v>
      </c>
      <c r="C1991" s="98">
        <v>0.74515648000000001</v>
      </c>
    </row>
    <row r="1992" spans="1:3" x14ac:dyDescent="0.3">
      <c r="A1992" s="98" t="s">
        <v>150</v>
      </c>
      <c r="B1992" s="98">
        <v>2021</v>
      </c>
      <c r="C1992" s="98">
        <v>0.74437993000000002</v>
      </c>
    </row>
    <row r="1993" spans="1:3" x14ac:dyDescent="0.3">
      <c r="A1993" s="98" t="s">
        <v>150</v>
      </c>
      <c r="B1993" s="98">
        <v>2022</v>
      </c>
      <c r="C1993" s="98">
        <v>0.82863772000000002</v>
      </c>
    </row>
    <row r="1994" spans="1:3" x14ac:dyDescent="0.3">
      <c r="A1994" s="98" t="s">
        <v>151</v>
      </c>
      <c r="B1994" s="98">
        <v>2001</v>
      </c>
      <c r="C1994" s="98">
        <v>4.4160000000000004</v>
      </c>
    </row>
    <row r="1995" spans="1:3" x14ac:dyDescent="0.3">
      <c r="A1995" s="98" t="s">
        <v>151</v>
      </c>
      <c r="B1995" s="98">
        <v>2002</v>
      </c>
      <c r="C1995" s="98">
        <v>4.7370000000000001</v>
      </c>
    </row>
    <row r="1996" spans="1:3" x14ac:dyDescent="0.3">
      <c r="A1996" s="98" t="s">
        <v>151</v>
      </c>
      <c r="B1996" s="98">
        <v>2003</v>
      </c>
      <c r="C1996" s="98">
        <v>4.3789999999999996</v>
      </c>
    </row>
    <row r="1997" spans="1:3" x14ac:dyDescent="0.3">
      <c r="A1997" s="98" t="s">
        <v>151</v>
      </c>
      <c r="B1997" s="98">
        <v>2004</v>
      </c>
      <c r="C1997" s="98">
        <v>4.3079999999999998</v>
      </c>
    </row>
    <row r="1998" spans="1:3" x14ac:dyDescent="0.3">
      <c r="A1998" s="98" t="s">
        <v>151</v>
      </c>
      <c r="B1998" s="98">
        <v>2005</v>
      </c>
      <c r="C1998" s="98">
        <v>4.6029999999999998</v>
      </c>
    </row>
    <row r="1999" spans="1:3" x14ac:dyDescent="0.3">
      <c r="A1999" s="98" t="s">
        <v>151</v>
      </c>
      <c r="B1999" s="98">
        <v>2006</v>
      </c>
      <c r="C1999" s="98">
        <v>4.2249999999999996</v>
      </c>
    </row>
    <row r="2000" spans="1:3" x14ac:dyDescent="0.3">
      <c r="A2000" s="98" t="s">
        <v>151</v>
      </c>
      <c r="B2000" s="98">
        <v>2007</v>
      </c>
      <c r="C2000" s="98">
        <v>3.8460000000000001</v>
      </c>
    </row>
    <row r="2001" spans="1:3" x14ac:dyDescent="0.3">
      <c r="A2001" s="98" t="s">
        <v>151</v>
      </c>
      <c r="B2001" s="98">
        <v>2008</v>
      </c>
      <c r="C2001" s="98">
        <v>3.802</v>
      </c>
    </row>
    <row r="2002" spans="1:3" x14ac:dyDescent="0.3">
      <c r="A2002" s="98" t="s">
        <v>151</v>
      </c>
      <c r="B2002" s="98">
        <v>2009</v>
      </c>
      <c r="C2002" s="98">
        <v>3.7749999999999999</v>
      </c>
    </row>
    <row r="2003" spans="1:3" x14ac:dyDescent="0.3">
      <c r="A2003" s="98" t="s">
        <v>151</v>
      </c>
      <c r="B2003" s="98">
        <v>2010</v>
      </c>
      <c r="C2003" s="98">
        <v>3.5489999999999999</v>
      </c>
    </row>
    <row r="2004" spans="1:3" x14ac:dyDescent="0.3">
      <c r="A2004" s="98" t="s">
        <v>151</v>
      </c>
      <c r="B2004" s="98">
        <v>2011</v>
      </c>
      <c r="C2004" s="98">
        <v>3.8210000000000002</v>
      </c>
    </row>
    <row r="2005" spans="1:3" x14ac:dyDescent="0.3">
      <c r="A2005" s="98" t="s">
        <v>151</v>
      </c>
      <c r="B2005" s="98">
        <v>2012</v>
      </c>
      <c r="C2005" s="98">
        <v>3.7330000000000001</v>
      </c>
    </row>
    <row r="2006" spans="1:3" x14ac:dyDescent="0.3">
      <c r="A2006" s="98" t="s">
        <v>151</v>
      </c>
      <c r="B2006" s="98">
        <v>2013</v>
      </c>
      <c r="C2006" s="98">
        <v>3.4710000000000001</v>
      </c>
    </row>
    <row r="2007" spans="1:3" x14ac:dyDescent="0.3">
      <c r="A2007" s="98" t="s">
        <v>151</v>
      </c>
      <c r="B2007" s="98">
        <v>2014</v>
      </c>
      <c r="C2007" s="98">
        <v>3.8889999999999998</v>
      </c>
    </row>
    <row r="2008" spans="1:3" x14ac:dyDescent="0.3">
      <c r="A2008" s="98" t="s">
        <v>151</v>
      </c>
      <c r="B2008" s="98">
        <v>2015</v>
      </c>
      <c r="C2008" s="98">
        <v>3.9020000000000001</v>
      </c>
    </row>
    <row r="2009" spans="1:3" x14ac:dyDescent="0.3">
      <c r="A2009" s="98" t="s">
        <v>151</v>
      </c>
      <c r="B2009" s="98">
        <v>2016</v>
      </c>
      <c r="C2009" s="98">
        <v>3.8450000000000002</v>
      </c>
    </row>
    <row r="2010" spans="1:3" x14ac:dyDescent="0.3">
      <c r="A2010" s="98" t="s">
        <v>151</v>
      </c>
      <c r="B2010" s="98">
        <v>2017</v>
      </c>
      <c r="C2010" s="98">
        <v>3.4670000000000001</v>
      </c>
    </row>
    <row r="2011" spans="1:3" x14ac:dyDescent="0.3">
      <c r="A2011" s="98" t="s">
        <v>151</v>
      </c>
      <c r="B2011" s="98">
        <v>2018</v>
      </c>
      <c r="C2011" s="98">
        <v>3.7480000000000002</v>
      </c>
    </row>
    <row r="2012" spans="1:3" x14ac:dyDescent="0.3">
      <c r="A2012" s="98" t="s">
        <v>151</v>
      </c>
      <c r="B2012" s="98">
        <v>2019</v>
      </c>
      <c r="C2012" s="98">
        <v>3.456</v>
      </c>
    </row>
    <row r="2013" spans="1:3" x14ac:dyDescent="0.3">
      <c r="A2013" s="98" t="s">
        <v>151</v>
      </c>
      <c r="B2013" s="98">
        <v>2020</v>
      </c>
      <c r="C2013" s="98">
        <v>3.2149999999999999</v>
      </c>
    </row>
    <row r="2014" spans="1:3" x14ac:dyDescent="0.3">
      <c r="A2014" s="98" t="s">
        <v>151</v>
      </c>
      <c r="B2014" s="98">
        <v>2021</v>
      </c>
      <c r="C2014" s="98">
        <v>3.11</v>
      </c>
    </row>
    <row r="2015" spans="1:3" x14ac:dyDescent="0.3">
      <c r="A2015" s="98" t="s">
        <v>151</v>
      </c>
      <c r="B2015" s="98">
        <v>2022</v>
      </c>
      <c r="C2015" s="98">
        <v>3.5190000000000001</v>
      </c>
    </row>
    <row r="2016" spans="1:3" x14ac:dyDescent="0.3">
      <c r="A2016" s="98" t="s">
        <v>152</v>
      </c>
      <c r="B2016" s="98">
        <v>2001</v>
      </c>
      <c r="C2016" s="98">
        <v>47.286000000000001</v>
      </c>
    </row>
    <row r="2017" spans="1:3" x14ac:dyDescent="0.3">
      <c r="A2017" s="98" t="s">
        <v>152</v>
      </c>
      <c r="B2017" s="98">
        <v>2002</v>
      </c>
      <c r="C2017" s="98">
        <v>50.761699999999998</v>
      </c>
    </row>
    <row r="2018" spans="1:3" x14ac:dyDescent="0.3">
      <c r="A2018" s="98" t="s">
        <v>152</v>
      </c>
      <c r="B2018" s="98">
        <v>2003</v>
      </c>
      <c r="C2018" s="98">
        <v>60.517099999999999</v>
      </c>
    </row>
    <row r="2019" spans="1:3" x14ac:dyDescent="0.3">
      <c r="A2019" s="98" t="s">
        <v>152</v>
      </c>
      <c r="B2019" s="98">
        <v>2004</v>
      </c>
      <c r="C2019" s="98">
        <v>61.45</v>
      </c>
    </row>
    <row r="2020" spans="1:3" x14ac:dyDescent="0.3">
      <c r="A2020" s="98" t="s">
        <v>152</v>
      </c>
      <c r="B2020" s="98">
        <v>2005</v>
      </c>
      <c r="C2020" s="98">
        <v>64.380700000000004</v>
      </c>
    </row>
    <row r="2021" spans="1:3" x14ac:dyDescent="0.3">
      <c r="A2021" s="98" t="s">
        <v>152</v>
      </c>
      <c r="B2021" s="98">
        <v>2006</v>
      </c>
      <c r="C2021" s="98">
        <v>67.0321</v>
      </c>
    </row>
    <row r="2022" spans="1:3" x14ac:dyDescent="0.3">
      <c r="A2022" s="98" t="s">
        <v>152</v>
      </c>
      <c r="B2022" s="98">
        <v>2007</v>
      </c>
      <c r="C2022" s="98">
        <v>70.396600000000007</v>
      </c>
    </row>
    <row r="2023" spans="1:3" x14ac:dyDescent="0.3">
      <c r="A2023" s="98" t="s">
        <v>152</v>
      </c>
      <c r="B2023" s="98">
        <v>2008</v>
      </c>
      <c r="C2023" s="98">
        <v>80.216700000000003</v>
      </c>
    </row>
    <row r="2024" spans="1:3" x14ac:dyDescent="0.3">
      <c r="A2024" s="98" t="s">
        <v>152</v>
      </c>
      <c r="B2024" s="98">
        <v>2009</v>
      </c>
      <c r="C2024" s="98">
        <v>89.3279</v>
      </c>
    </row>
    <row r="2025" spans="1:3" x14ac:dyDescent="0.3">
      <c r="A2025" s="98" t="s">
        <v>152</v>
      </c>
      <c r="B2025" s="98">
        <v>2010</v>
      </c>
      <c r="C2025" s="98">
        <v>85.601050000000001</v>
      </c>
    </row>
    <row r="2026" spans="1:3" x14ac:dyDescent="0.3">
      <c r="A2026" s="98" t="s">
        <v>152</v>
      </c>
      <c r="B2026" s="98">
        <v>2011</v>
      </c>
      <c r="C2026" s="98">
        <v>86.367949999999993</v>
      </c>
    </row>
    <row r="2027" spans="1:3" x14ac:dyDescent="0.3">
      <c r="A2027" s="98" t="s">
        <v>152</v>
      </c>
      <c r="B2027" s="98">
        <v>2012</v>
      </c>
      <c r="C2027" s="98">
        <v>92.563699999999997</v>
      </c>
    </row>
    <row r="2028" spans="1:3" x14ac:dyDescent="0.3">
      <c r="A2028" s="98" t="s">
        <v>152</v>
      </c>
      <c r="B2028" s="98">
        <v>2013</v>
      </c>
      <c r="C2028" s="98">
        <v>106.0471</v>
      </c>
    </row>
    <row r="2029" spans="1:3" x14ac:dyDescent="0.3">
      <c r="A2029" s="98" t="s">
        <v>152</v>
      </c>
      <c r="B2029" s="98">
        <v>2014</v>
      </c>
      <c r="C2029" s="98">
        <v>114.39</v>
      </c>
    </row>
    <row r="2030" spans="1:3" x14ac:dyDescent="0.3">
      <c r="A2030" s="98" t="s">
        <v>152</v>
      </c>
      <c r="B2030" s="98">
        <v>2015</v>
      </c>
      <c r="C2030" s="98">
        <v>120.02845000000001</v>
      </c>
    </row>
    <row r="2031" spans="1:3" x14ac:dyDescent="0.3">
      <c r="A2031" s="98" t="s">
        <v>152</v>
      </c>
      <c r="B2031" s="98">
        <v>2016</v>
      </c>
      <c r="C2031" s="98">
        <v>127.81910000000001</v>
      </c>
    </row>
    <row r="2032" spans="1:3" x14ac:dyDescent="0.3">
      <c r="A2032" s="98" t="s">
        <v>152</v>
      </c>
      <c r="B2032" s="98">
        <v>2017</v>
      </c>
      <c r="C2032" s="98">
        <v>124.30410000000001</v>
      </c>
    </row>
    <row r="2033" spans="1:3" x14ac:dyDescent="0.3">
      <c r="A2033" s="98" t="s">
        <v>152</v>
      </c>
      <c r="B2033" s="98">
        <v>2018</v>
      </c>
      <c r="C2033" s="98">
        <v>126.8049</v>
      </c>
    </row>
    <row r="2034" spans="1:3" x14ac:dyDescent="0.3">
      <c r="A2034" s="98" t="s">
        <v>152</v>
      </c>
      <c r="B2034" s="98">
        <v>2019</v>
      </c>
      <c r="C2034" s="98">
        <v>131.17685</v>
      </c>
    </row>
    <row r="2035" spans="1:3" x14ac:dyDescent="0.3">
      <c r="A2035" s="98" t="s">
        <v>152</v>
      </c>
      <c r="B2035" s="98">
        <v>2020</v>
      </c>
      <c r="C2035" s="98">
        <v>141.709</v>
      </c>
    </row>
    <row r="2036" spans="1:3" x14ac:dyDescent="0.3">
      <c r="A2036" s="98" t="s">
        <v>152</v>
      </c>
      <c r="B2036" s="98">
        <v>2021</v>
      </c>
      <c r="C2036" s="98">
        <v>153.91995</v>
      </c>
    </row>
    <row r="2037" spans="1:3" x14ac:dyDescent="0.3">
      <c r="A2037" s="98" t="s">
        <v>152</v>
      </c>
      <c r="B2037" s="98">
        <v>2022</v>
      </c>
      <c r="C2037" s="98">
        <v>151.00819999999999</v>
      </c>
    </row>
    <row r="2038" spans="1:3" x14ac:dyDescent="0.3">
      <c r="A2038" s="98" t="s">
        <v>153</v>
      </c>
      <c r="B2038" s="98">
        <v>2001</v>
      </c>
      <c r="C2038" s="98">
        <v>131.80000000000001</v>
      </c>
    </row>
    <row r="2039" spans="1:3" x14ac:dyDescent="0.3">
      <c r="A2039" s="98" t="s">
        <v>153</v>
      </c>
      <c r="B2039" s="98">
        <v>2002</v>
      </c>
      <c r="C2039" s="98">
        <v>119.9</v>
      </c>
    </row>
    <row r="2040" spans="1:3" x14ac:dyDescent="0.3">
      <c r="A2040" s="98" t="s">
        <v>153</v>
      </c>
      <c r="B2040" s="98">
        <v>2003</v>
      </c>
      <c r="C2040" s="98">
        <v>107.1</v>
      </c>
    </row>
    <row r="2041" spans="1:3" x14ac:dyDescent="0.3">
      <c r="A2041" s="98" t="s">
        <v>153</v>
      </c>
      <c r="B2041" s="98">
        <v>2004</v>
      </c>
      <c r="C2041" s="98">
        <v>104.12</v>
      </c>
    </row>
    <row r="2042" spans="1:3" x14ac:dyDescent="0.3">
      <c r="A2042" s="98" t="s">
        <v>153</v>
      </c>
      <c r="B2042" s="98">
        <v>2005</v>
      </c>
      <c r="C2042" s="98">
        <v>117.97</v>
      </c>
    </row>
    <row r="2043" spans="1:3" x14ac:dyDescent="0.3">
      <c r="A2043" s="98" t="s">
        <v>153</v>
      </c>
      <c r="B2043" s="98">
        <v>2006</v>
      </c>
      <c r="C2043" s="98">
        <v>118.95</v>
      </c>
    </row>
    <row r="2044" spans="1:3" x14ac:dyDescent="0.3">
      <c r="A2044" s="98" t="s">
        <v>153</v>
      </c>
      <c r="B2044" s="98">
        <v>2007</v>
      </c>
      <c r="C2044" s="98">
        <v>114</v>
      </c>
    </row>
    <row r="2045" spans="1:3" x14ac:dyDescent="0.3">
      <c r="A2045" s="98" t="s">
        <v>153</v>
      </c>
      <c r="B2045" s="98">
        <v>2008</v>
      </c>
      <c r="C2045" s="98">
        <v>90.75</v>
      </c>
    </row>
    <row r="2046" spans="1:3" x14ac:dyDescent="0.3">
      <c r="A2046" s="98" t="s">
        <v>153</v>
      </c>
      <c r="B2046" s="98">
        <v>2009</v>
      </c>
      <c r="C2046" s="98">
        <v>92.06</v>
      </c>
    </row>
    <row r="2047" spans="1:3" x14ac:dyDescent="0.3">
      <c r="A2047" s="98" t="s">
        <v>153</v>
      </c>
      <c r="B2047" s="98">
        <v>2010</v>
      </c>
      <c r="C2047" s="98">
        <v>81.45</v>
      </c>
    </row>
    <row r="2048" spans="1:3" x14ac:dyDescent="0.3">
      <c r="A2048" s="98" t="s">
        <v>153</v>
      </c>
      <c r="B2048" s="98">
        <v>2011</v>
      </c>
      <c r="C2048" s="98">
        <v>77.72</v>
      </c>
    </row>
    <row r="2049" spans="1:3" x14ac:dyDescent="0.3">
      <c r="A2049" s="98" t="s">
        <v>153</v>
      </c>
      <c r="B2049" s="98">
        <v>2012</v>
      </c>
      <c r="C2049" s="98">
        <v>86.55</v>
      </c>
    </row>
    <row r="2050" spans="1:3" x14ac:dyDescent="0.3">
      <c r="A2050" s="98" t="s">
        <v>153</v>
      </c>
      <c r="B2050" s="98">
        <v>2013</v>
      </c>
      <c r="C2050" s="98">
        <v>105.3</v>
      </c>
    </row>
    <row r="2051" spans="1:3" x14ac:dyDescent="0.3">
      <c r="A2051" s="98" t="s">
        <v>153</v>
      </c>
      <c r="B2051" s="98">
        <v>2014</v>
      </c>
      <c r="C2051" s="98">
        <v>120.64</v>
      </c>
    </row>
    <row r="2052" spans="1:3" x14ac:dyDescent="0.3">
      <c r="A2052" s="98" t="s">
        <v>153</v>
      </c>
      <c r="B2052" s="98">
        <v>2015</v>
      </c>
      <c r="C2052" s="98">
        <v>120.5</v>
      </c>
    </row>
    <row r="2053" spans="1:3" x14ac:dyDescent="0.3">
      <c r="A2053" s="98" t="s">
        <v>153</v>
      </c>
      <c r="B2053" s="98">
        <v>2016</v>
      </c>
      <c r="C2053" s="98">
        <v>116.8</v>
      </c>
    </row>
    <row r="2054" spans="1:3" x14ac:dyDescent="0.3">
      <c r="A2054" s="98" t="s">
        <v>153</v>
      </c>
      <c r="B2054" s="98">
        <v>2017</v>
      </c>
      <c r="C2054" s="98">
        <v>112.9</v>
      </c>
    </row>
    <row r="2055" spans="1:3" x14ac:dyDescent="0.3">
      <c r="A2055" s="98" t="s">
        <v>153</v>
      </c>
      <c r="B2055" s="98">
        <v>2018</v>
      </c>
      <c r="C2055" s="98">
        <v>110.83</v>
      </c>
    </row>
    <row r="2056" spans="1:3" x14ac:dyDescent="0.3">
      <c r="A2056" s="98" t="s">
        <v>153</v>
      </c>
      <c r="B2056" s="98">
        <v>2019</v>
      </c>
      <c r="C2056" s="98">
        <v>109.12</v>
      </c>
    </row>
    <row r="2057" spans="1:3" x14ac:dyDescent="0.3">
      <c r="A2057" s="98" t="s">
        <v>153</v>
      </c>
      <c r="B2057" s="98">
        <v>2020</v>
      </c>
      <c r="C2057" s="98">
        <v>103.63</v>
      </c>
    </row>
    <row r="2058" spans="1:3" x14ac:dyDescent="0.3">
      <c r="A2058" s="98" t="s">
        <v>153</v>
      </c>
      <c r="B2058" s="98">
        <v>2021</v>
      </c>
      <c r="C2058" s="98">
        <v>114.21</v>
      </c>
    </row>
    <row r="2059" spans="1:3" x14ac:dyDescent="0.3">
      <c r="A2059" s="98" t="s">
        <v>153</v>
      </c>
      <c r="B2059" s="98">
        <v>2022</v>
      </c>
      <c r="C2059" s="98">
        <v>132.65</v>
      </c>
    </row>
    <row r="2060" spans="1:3" x14ac:dyDescent="0.3">
      <c r="A2060" s="98" t="s">
        <v>154</v>
      </c>
      <c r="B2060" s="98">
        <v>2001</v>
      </c>
      <c r="C2060" s="98">
        <v>0.68946498000000001</v>
      </c>
    </row>
    <row r="2061" spans="1:3" x14ac:dyDescent="0.3">
      <c r="A2061" s="98" t="s">
        <v>154</v>
      </c>
      <c r="B2061" s="98">
        <v>2002</v>
      </c>
      <c r="C2061" s="98">
        <v>0.62042436999999995</v>
      </c>
    </row>
    <row r="2062" spans="1:3" x14ac:dyDescent="0.3">
      <c r="A2062" s="98" t="s">
        <v>154</v>
      </c>
      <c r="B2062" s="98">
        <v>2003</v>
      </c>
      <c r="C2062" s="98">
        <v>0.56031825999999996</v>
      </c>
    </row>
    <row r="2063" spans="1:3" x14ac:dyDescent="0.3">
      <c r="A2063" s="98" t="s">
        <v>154</v>
      </c>
      <c r="B2063" s="98">
        <v>2004</v>
      </c>
      <c r="C2063" s="98">
        <v>0.51775914000000001</v>
      </c>
    </row>
    <row r="2064" spans="1:3" x14ac:dyDescent="0.3">
      <c r="A2064" s="98" t="s">
        <v>154</v>
      </c>
      <c r="B2064" s="98">
        <v>2005</v>
      </c>
      <c r="C2064" s="98">
        <v>0.58075381999999998</v>
      </c>
    </row>
    <row r="2065" spans="1:3" x14ac:dyDescent="0.3">
      <c r="A2065" s="98" t="s">
        <v>154</v>
      </c>
      <c r="B2065" s="98">
        <v>2006</v>
      </c>
      <c r="C2065" s="98">
        <v>0.50942434999999997</v>
      </c>
    </row>
    <row r="2066" spans="1:3" x14ac:dyDescent="0.3">
      <c r="A2066" s="98" t="s">
        <v>154</v>
      </c>
      <c r="B2066" s="98">
        <v>2007</v>
      </c>
      <c r="C2066" s="98">
        <v>0.49915144</v>
      </c>
    </row>
    <row r="2067" spans="1:3" x14ac:dyDescent="0.3">
      <c r="A2067" s="98" t="s">
        <v>154</v>
      </c>
      <c r="B2067" s="98">
        <v>2008</v>
      </c>
      <c r="C2067" s="98">
        <v>0.68596515000000002</v>
      </c>
    </row>
    <row r="2068" spans="1:3" x14ac:dyDescent="0.3">
      <c r="A2068" s="98" t="s">
        <v>154</v>
      </c>
      <c r="B2068" s="98">
        <v>2009</v>
      </c>
      <c r="C2068" s="98">
        <v>0.61747452999999997</v>
      </c>
    </row>
    <row r="2069" spans="1:3" x14ac:dyDescent="0.3">
      <c r="A2069" s="98" t="s">
        <v>154</v>
      </c>
      <c r="B2069" s="98">
        <v>2010</v>
      </c>
      <c r="C2069" s="98">
        <v>0.63877355000000002</v>
      </c>
    </row>
    <row r="2070" spans="1:3" x14ac:dyDescent="0.3">
      <c r="A2070" s="98" t="s">
        <v>154</v>
      </c>
      <c r="B2070" s="98">
        <v>2011</v>
      </c>
      <c r="C2070" s="98">
        <v>0.64678869000000005</v>
      </c>
    </row>
    <row r="2071" spans="1:3" x14ac:dyDescent="0.3">
      <c r="A2071" s="98" t="s">
        <v>154</v>
      </c>
      <c r="B2071" s="98">
        <v>2012</v>
      </c>
      <c r="C2071" s="98">
        <v>0.63371356000000001</v>
      </c>
    </row>
    <row r="2072" spans="1:3" x14ac:dyDescent="0.3">
      <c r="A2072" s="98" t="s">
        <v>154</v>
      </c>
      <c r="B2072" s="98">
        <v>2013</v>
      </c>
      <c r="C2072" s="98">
        <v>0.60723828000000002</v>
      </c>
    </row>
    <row r="2073" spans="1:3" x14ac:dyDescent="0.3">
      <c r="A2073" s="98" t="s">
        <v>154</v>
      </c>
      <c r="B2073" s="98">
        <v>2014</v>
      </c>
      <c r="C2073" s="98">
        <v>0.64069708000000003</v>
      </c>
    </row>
    <row r="2074" spans="1:3" x14ac:dyDescent="0.3">
      <c r="A2074" s="98" t="s">
        <v>154</v>
      </c>
      <c r="B2074" s="98">
        <v>2015</v>
      </c>
      <c r="C2074" s="98">
        <v>0.67480936999999996</v>
      </c>
    </row>
    <row r="2075" spans="1:3" x14ac:dyDescent="0.3">
      <c r="A2075" s="98" t="s">
        <v>154</v>
      </c>
      <c r="B2075" s="98">
        <v>2016</v>
      </c>
      <c r="C2075" s="98">
        <v>0.81287595999999995</v>
      </c>
    </row>
    <row r="2076" spans="1:3" x14ac:dyDescent="0.3">
      <c r="A2076" s="98" t="s">
        <v>154</v>
      </c>
      <c r="B2076" s="98">
        <v>2017</v>
      </c>
      <c r="C2076" s="98">
        <v>0.74011028000000001</v>
      </c>
    </row>
    <row r="2077" spans="1:3" x14ac:dyDescent="0.3">
      <c r="A2077" s="98" t="s">
        <v>154</v>
      </c>
      <c r="B2077" s="98">
        <v>2018</v>
      </c>
      <c r="C2077" s="98">
        <v>0.78768066999999997</v>
      </c>
    </row>
    <row r="2078" spans="1:3" x14ac:dyDescent="0.3">
      <c r="A2078" s="98" t="s">
        <v>154</v>
      </c>
      <c r="B2078" s="98">
        <v>2019</v>
      </c>
      <c r="C2078" s="98">
        <v>0.76210798999999996</v>
      </c>
    </row>
    <row r="2079" spans="1:3" x14ac:dyDescent="0.3">
      <c r="A2079" s="98" t="s">
        <v>154</v>
      </c>
      <c r="B2079" s="98">
        <v>2020</v>
      </c>
      <c r="C2079" s="98">
        <v>0.74515648000000001</v>
      </c>
    </row>
    <row r="2080" spans="1:3" x14ac:dyDescent="0.3">
      <c r="A2080" s="98" t="s">
        <v>154</v>
      </c>
      <c r="B2080" s="98">
        <v>2021</v>
      </c>
      <c r="C2080" s="98">
        <v>0.74437993000000002</v>
      </c>
    </row>
    <row r="2081" spans="1:3" x14ac:dyDescent="0.3">
      <c r="A2081" s="98" t="s">
        <v>154</v>
      </c>
      <c r="B2081" s="98">
        <v>2022</v>
      </c>
      <c r="C2081" s="98">
        <v>0.82863772000000002</v>
      </c>
    </row>
    <row r="2082" spans="1:3" x14ac:dyDescent="0.3">
      <c r="A2082" s="98" t="s">
        <v>155</v>
      </c>
      <c r="B2082" s="98">
        <v>2001</v>
      </c>
      <c r="C2082" s="98">
        <v>0.70899860999999997</v>
      </c>
    </row>
    <row r="2083" spans="1:3" x14ac:dyDescent="0.3">
      <c r="A2083" s="98" t="s">
        <v>155</v>
      </c>
      <c r="B2083" s="98">
        <v>2002</v>
      </c>
      <c r="C2083" s="98">
        <v>0.70899860999999997</v>
      </c>
    </row>
    <row r="2084" spans="1:3" x14ac:dyDescent="0.3">
      <c r="A2084" s="98" t="s">
        <v>155</v>
      </c>
      <c r="B2084" s="98">
        <v>2003</v>
      </c>
      <c r="C2084" s="98">
        <v>0.70899860999999997</v>
      </c>
    </row>
    <row r="2085" spans="1:3" x14ac:dyDescent="0.3">
      <c r="A2085" s="98" t="s">
        <v>155</v>
      </c>
      <c r="B2085" s="98">
        <v>2004</v>
      </c>
      <c r="C2085" s="98">
        <v>0.70899860999999997</v>
      </c>
    </row>
    <row r="2086" spans="1:3" x14ac:dyDescent="0.3">
      <c r="A2086" s="98" t="s">
        <v>155</v>
      </c>
      <c r="B2086" s="98">
        <v>2005</v>
      </c>
      <c r="C2086" s="98">
        <v>0.70899860999999997</v>
      </c>
    </row>
    <row r="2087" spans="1:3" x14ac:dyDescent="0.3">
      <c r="A2087" s="98" t="s">
        <v>155</v>
      </c>
      <c r="B2087" s="98">
        <v>2006</v>
      </c>
      <c r="C2087" s="98">
        <v>0.70899860999999997</v>
      </c>
    </row>
    <row r="2088" spans="1:3" x14ac:dyDescent="0.3">
      <c r="A2088" s="98" t="s">
        <v>155</v>
      </c>
      <c r="B2088" s="98">
        <v>2007</v>
      </c>
      <c r="C2088" s="98">
        <v>0.70899860999999997</v>
      </c>
    </row>
    <row r="2089" spans="1:3" x14ac:dyDescent="0.3">
      <c r="A2089" s="98" t="s">
        <v>155</v>
      </c>
      <c r="B2089" s="98">
        <v>2008</v>
      </c>
      <c r="C2089" s="98">
        <v>0.70921986000000004</v>
      </c>
    </row>
    <row r="2090" spans="1:3" x14ac:dyDescent="0.3">
      <c r="A2090" s="98" t="s">
        <v>155</v>
      </c>
      <c r="B2090" s="98">
        <v>2009</v>
      </c>
      <c r="C2090" s="98">
        <v>0.71</v>
      </c>
    </row>
    <row r="2091" spans="1:3" x14ac:dyDescent="0.3">
      <c r="A2091" s="98" t="s">
        <v>155</v>
      </c>
      <c r="B2091" s="98">
        <v>2010</v>
      </c>
      <c r="C2091" s="98">
        <v>0.71</v>
      </c>
    </row>
    <row r="2092" spans="1:3" x14ac:dyDescent="0.3">
      <c r="A2092" s="98" t="s">
        <v>155</v>
      </c>
      <c r="B2092" s="98">
        <v>2011</v>
      </c>
      <c r="C2092" s="98">
        <v>0.71</v>
      </c>
    </row>
    <row r="2093" spans="1:3" x14ac:dyDescent="0.3">
      <c r="A2093" s="98" t="s">
        <v>155</v>
      </c>
      <c r="B2093" s="98">
        <v>2012</v>
      </c>
      <c r="C2093" s="98">
        <v>0.71</v>
      </c>
    </row>
    <row r="2094" spans="1:3" x14ac:dyDescent="0.3">
      <c r="A2094" s="98" t="s">
        <v>155</v>
      </c>
      <c r="B2094" s="98">
        <v>2013</v>
      </c>
      <c r="C2094" s="98">
        <v>0.71</v>
      </c>
    </row>
    <row r="2095" spans="1:3" x14ac:dyDescent="0.3">
      <c r="A2095" s="98" t="s">
        <v>155</v>
      </c>
      <c r="B2095" s="98">
        <v>2014</v>
      </c>
      <c r="C2095" s="98">
        <v>0.71</v>
      </c>
    </row>
    <row r="2096" spans="1:3" x14ac:dyDescent="0.3">
      <c r="A2096" s="98" t="s">
        <v>155</v>
      </c>
      <c r="B2096" s="98">
        <v>2015</v>
      </c>
      <c r="C2096" s="98">
        <v>0.71</v>
      </c>
    </row>
    <row r="2097" spans="1:3" x14ac:dyDescent="0.3">
      <c r="A2097" s="98" t="s">
        <v>155</v>
      </c>
      <c r="B2097" s="98">
        <v>2016</v>
      </c>
      <c r="C2097" s="98">
        <v>0.71</v>
      </c>
    </row>
    <row r="2098" spans="1:3" x14ac:dyDescent="0.3">
      <c r="A2098" s="98" t="s">
        <v>155</v>
      </c>
      <c r="B2098" s="98">
        <v>2017</v>
      </c>
      <c r="C2098" s="98">
        <v>0.71</v>
      </c>
    </row>
    <row r="2099" spans="1:3" x14ac:dyDescent="0.3">
      <c r="A2099" s="98" t="s">
        <v>155</v>
      </c>
      <c r="B2099" s="98">
        <v>2018</v>
      </c>
      <c r="C2099" s="98">
        <v>0.71</v>
      </c>
    </row>
    <row r="2100" spans="1:3" x14ac:dyDescent="0.3">
      <c r="A2100" s="98" t="s">
        <v>155</v>
      </c>
      <c r="B2100" s="98">
        <v>2019</v>
      </c>
      <c r="C2100" s="98">
        <v>0.71</v>
      </c>
    </row>
    <row r="2101" spans="1:3" x14ac:dyDescent="0.3">
      <c r="A2101" s="98" t="s">
        <v>155</v>
      </c>
      <c r="B2101" s="98">
        <v>2020</v>
      </c>
      <c r="C2101" s="98">
        <v>0.71</v>
      </c>
    </row>
    <row r="2102" spans="1:3" x14ac:dyDescent="0.3">
      <c r="A2102" s="98" t="s">
        <v>155</v>
      </c>
      <c r="B2102" s="98">
        <v>2021</v>
      </c>
      <c r="C2102" s="98">
        <v>0.71</v>
      </c>
    </row>
    <row r="2103" spans="1:3" x14ac:dyDescent="0.3">
      <c r="A2103" s="98" t="s">
        <v>155</v>
      </c>
      <c r="B2103" s="98">
        <v>2022</v>
      </c>
      <c r="C2103" s="98">
        <v>0.71</v>
      </c>
    </row>
    <row r="2104" spans="1:3" x14ac:dyDescent="0.3">
      <c r="A2104" s="98" t="s">
        <v>156</v>
      </c>
      <c r="B2104" s="98">
        <v>2001</v>
      </c>
      <c r="C2104" s="98">
        <v>150.19999999999999</v>
      </c>
    </row>
    <row r="2105" spans="1:3" x14ac:dyDescent="0.3">
      <c r="A2105" s="98" t="s">
        <v>156</v>
      </c>
      <c r="B2105" s="98">
        <v>2002</v>
      </c>
      <c r="C2105" s="98">
        <v>154.6</v>
      </c>
    </row>
    <row r="2106" spans="1:3" x14ac:dyDescent="0.3">
      <c r="A2106" s="98" t="s">
        <v>156</v>
      </c>
      <c r="B2106" s="98">
        <v>2003</v>
      </c>
      <c r="C2106" s="98">
        <v>144.22</v>
      </c>
    </row>
    <row r="2107" spans="1:3" x14ac:dyDescent="0.3">
      <c r="A2107" s="98" t="s">
        <v>156</v>
      </c>
      <c r="B2107" s="98">
        <v>2004</v>
      </c>
      <c r="C2107" s="98">
        <v>130</v>
      </c>
    </row>
    <row r="2108" spans="1:3" x14ac:dyDescent="0.3">
      <c r="A2108" s="98" t="s">
        <v>156</v>
      </c>
      <c r="B2108" s="98">
        <v>2005</v>
      </c>
      <c r="C2108" s="98">
        <v>133.97999999999999</v>
      </c>
    </row>
    <row r="2109" spans="1:3" x14ac:dyDescent="0.3">
      <c r="A2109" s="98" t="s">
        <v>156</v>
      </c>
      <c r="B2109" s="98">
        <v>2006</v>
      </c>
      <c r="C2109" s="98">
        <v>127</v>
      </c>
    </row>
    <row r="2110" spans="1:3" x14ac:dyDescent="0.3">
      <c r="A2110" s="98" t="s">
        <v>156</v>
      </c>
      <c r="B2110" s="98">
        <v>2007</v>
      </c>
      <c r="C2110" s="98">
        <v>120.3</v>
      </c>
    </row>
    <row r="2111" spans="1:3" x14ac:dyDescent="0.3">
      <c r="A2111" s="98" t="s">
        <v>156</v>
      </c>
      <c r="B2111" s="98">
        <v>2008</v>
      </c>
      <c r="C2111" s="98">
        <v>120.79</v>
      </c>
    </row>
    <row r="2112" spans="1:3" x14ac:dyDescent="0.3">
      <c r="A2112" s="98" t="s">
        <v>156</v>
      </c>
      <c r="B2112" s="98">
        <v>2009</v>
      </c>
      <c r="C2112" s="98">
        <v>148.46</v>
      </c>
    </row>
    <row r="2113" spans="1:3" x14ac:dyDescent="0.3">
      <c r="A2113" s="98" t="s">
        <v>156</v>
      </c>
      <c r="B2113" s="98">
        <v>2010</v>
      </c>
      <c r="C2113" s="98">
        <v>147.5</v>
      </c>
    </row>
    <row r="2114" spans="1:3" x14ac:dyDescent="0.3">
      <c r="A2114" s="98" t="s">
        <v>156</v>
      </c>
      <c r="B2114" s="98">
        <v>2011</v>
      </c>
      <c r="C2114" s="98">
        <v>148.4</v>
      </c>
    </row>
    <row r="2115" spans="1:3" x14ac:dyDescent="0.3">
      <c r="A2115" s="98" t="s">
        <v>156</v>
      </c>
      <c r="B2115" s="98">
        <v>2012</v>
      </c>
      <c r="C2115" s="98">
        <v>150.74</v>
      </c>
    </row>
    <row r="2116" spans="1:3" x14ac:dyDescent="0.3">
      <c r="A2116" s="98" t="s">
        <v>156</v>
      </c>
      <c r="B2116" s="98">
        <v>2013</v>
      </c>
      <c r="C2116" s="98">
        <v>154.06</v>
      </c>
    </row>
    <row r="2117" spans="1:3" x14ac:dyDescent="0.3">
      <c r="A2117" s="98" t="s">
        <v>156</v>
      </c>
      <c r="B2117" s="98">
        <v>2014</v>
      </c>
      <c r="C2117" s="98">
        <v>182.35</v>
      </c>
    </row>
    <row r="2118" spans="1:3" x14ac:dyDescent="0.3">
      <c r="A2118" s="98" t="s">
        <v>156</v>
      </c>
      <c r="B2118" s="98">
        <v>2015</v>
      </c>
      <c r="C2118" s="98">
        <v>340.01</v>
      </c>
    </row>
    <row r="2119" spans="1:3" x14ac:dyDescent="0.3">
      <c r="A2119" s="98" t="s">
        <v>156</v>
      </c>
      <c r="B2119" s="98">
        <v>2016</v>
      </c>
      <c r="C2119" s="98">
        <v>333.29</v>
      </c>
    </row>
    <row r="2120" spans="1:3" x14ac:dyDescent="0.3">
      <c r="A2120" s="98" t="s">
        <v>156</v>
      </c>
      <c r="B2120" s="98">
        <v>2017</v>
      </c>
      <c r="C2120" s="98">
        <v>332.33</v>
      </c>
    </row>
    <row r="2121" spans="1:3" x14ac:dyDescent="0.3">
      <c r="A2121" s="98" t="s">
        <v>156</v>
      </c>
      <c r="B2121" s="98">
        <v>2018</v>
      </c>
      <c r="C2121" s="98">
        <v>384.2</v>
      </c>
    </row>
    <row r="2122" spans="1:3" x14ac:dyDescent="0.3">
      <c r="A2122" s="98" t="s">
        <v>156</v>
      </c>
      <c r="B2122" s="98">
        <v>2019</v>
      </c>
      <c r="C2122" s="98">
        <v>382.59</v>
      </c>
    </row>
    <row r="2123" spans="1:3" x14ac:dyDescent="0.3">
      <c r="A2123" s="98" t="s">
        <v>156</v>
      </c>
      <c r="B2123" s="98">
        <v>2020</v>
      </c>
      <c r="C2123" s="98">
        <v>420.91</v>
      </c>
    </row>
    <row r="2124" spans="1:3" x14ac:dyDescent="0.3">
      <c r="A2124" s="98" t="s">
        <v>156</v>
      </c>
      <c r="B2124" s="98">
        <v>2021</v>
      </c>
      <c r="C2124" s="98">
        <v>431.8</v>
      </c>
    </row>
    <row r="2125" spans="1:3" x14ac:dyDescent="0.3">
      <c r="A2125" s="98" t="s">
        <v>156</v>
      </c>
      <c r="B2125" s="98">
        <v>2022</v>
      </c>
      <c r="C2125" s="98">
        <v>462.65</v>
      </c>
    </row>
    <row r="2126" spans="1:3" x14ac:dyDescent="0.3">
      <c r="A2126" s="98" t="s">
        <v>157</v>
      </c>
      <c r="B2126" s="98">
        <v>2001</v>
      </c>
      <c r="C2126" s="98">
        <v>78.599999999999994</v>
      </c>
    </row>
    <row r="2127" spans="1:3" x14ac:dyDescent="0.3">
      <c r="A2127" s="98" t="s">
        <v>157</v>
      </c>
      <c r="B2127" s="98">
        <v>2002</v>
      </c>
      <c r="C2127" s="98">
        <v>77.072199999999995</v>
      </c>
    </row>
    <row r="2128" spans="1:3" x14ac:dyDescent="0.3">
      <c r="A2128" s="98" t="s">
        <v>157</v>
      </c>
      <c r="B2128" s="98">
        <v>2003</v>
      </c>
      <c r="C2128" s="98">
        <v>76.138900000000007</v>
      </c>
    </row>
    <row r="2129" spans="1:3" x14ac:dyDescent="0.3">
      <c r="A2129" s="98" t="s">
        <v>157</v>
      </c>
      <c r="B2129" s="98">
        <v>2004</v>
      </c>
      <c r="C2129" s="98">
        <v>77.344399999999993</v>
      </c>
    </row>
    <row r="2130" spans="1:3" x14ac:dyDescent="0.3">
      <c r="A2130" s="98" t="s">
        <v>157</v>
      </c>
      <c r="B2130" s="98">
        <v>2005</v>
      </c>
      <c r="C2130" s="98">
        <v>72.366699999999994</v>
      </c>
    </row>
    <row r="2131" spans="1:3" x14ac:dyDescent="0.3">
      <c r="A2131" s="98" t="s">
        <v>157</v>
      </c>
      <c r="B2131" s="98">
        <v>2006</v>
      </c>
      <c r="C2131" s="98">
        <v>69.396699999999996</v>
      </c>
    </row>
    <row r="2132" spans="1:3" x14ac:dyDescent="0.3">
      <c r="A2132" s="98" t="s">
        <v>157</v>
      </c>
      <c r="B2132" s="98">
        <v>2007</v>
      </c>
      <c r="C2132" s="98">
        <v>62.674999999999997</v>
      </c>
    </row>
    <row r="2133" spans="1:3" x14ac:dyDescent="0.3">
      <c r="A2133" s="98" t="s">
        <v>157</v>
      </c>
      <c r="B2133" s="98">
        <v>2008</v>
      </c>
      <c r="C2133" s="98">
        <v>77.711111000000002</v>
      </c>
    </row>
    <row r="2134" spans="1:3" x14ac:dyDescent="0.3">
      <c r="A2134" s="98" t="s">
        <v>157</v>
      </c>
      <c r="B2134" s="98">
        <v>2009</v>
      </c>
      <c r="C2134" s="98">
        <v>75.819999999999993</v>
      </c>
    </row>
    <row r="2135" spans="1:3" x14ac:dyDescent="0.3">
      <c r="A2135" s="98" t="s">
        <v>157</v>
      </c>
      <c r="B2135" s="98">
        <v>2010</v>
      </c>
      <c r="C2135" s="98">
        <v>80.751943999999995</v>
      </c>
    </row>
    <row r="2136" spans="1:3" x14ac:dyDescent="0.3">
      <c r="A2136" s="98" t="s">
        <v>157</v>
      </c>
      <c r="B2136" s="98">
        <v>2011</v>
      </c>
      <c r="C2136" s="98">
        <v>85.068100000000001</v>
      </c>
    </row>
    <row r="2137" spans="1:3" x14ac:dyDescent="0.3">
      <c r="A2137" s="98" t="s">
        <v>157</v>
      </c>
      <c r="B2137" s="98">
        <v>2012</v>
      </c>
      <c r="C2137" s="98">
        <v>86.000799999999998</v>
      </c>
    </row>
    <row r="2138" spans="1:3" x14ac:dyDescent="0.3">
      <c r="A2138" s="98" t="s">
        <v>157</v>
      </c>
      <c r="B2138" s="98">
        <v>2013</v>
      </c>
      <c r="C2138" s="98">
        <v>86.309721999999994</v>
      </c>
    </row>
    <row r="2139" spans="1:3" x14ac:dyDescent="0.3">
      <c r="A2139" s="98" t="s">
        <v>157</v>
      </c>
      <c r="B2139" s="98">
        <v>2014</v>
      </c>
      <c r="C2139" s="98">
        <v>90.501666999999998</v>
      </c>
    </row>
    <row r="2140" spans="1:3" x14ac:dyDescent="0.3">
      <c r="A2140" s="98" t="s">
        <v>157</v>
      </c>
      <c r="B2140" s="98">
        <v>2015</v>
      </c>
      <c r="C2140" s="98">
        <v>102.31140000000001</v>
      </c>
    </row>
    <row r="2141" spans="1:3" x14ac:dyDescent="0.3">
      <c r="A2141" s="98" t="s">
        <v>157</v>
      </c>
      <c r="B2141" s="98">
        <v>2016</v>
      </c>
      <c r="C2141" s="98">
        <v>102.48583000000001</v>
      </c>
    </row>
    <row r="2142" spans="1:3" x14ac:dyDescent="0.3">
      <c r="A2142" s="98" t="s">
        <v>157</v>
      </c>
      <c r="B2142" s="98">
        <v>2017</v>
      </c>
      <c r="C2142" s="98">
        <v>103.23166999999999</v>
      </c>
    </row>
    <row r="2143" spans="1:3" x14ac:dyDescent="0.3">
      <c r="A2143" s="98" t="s">
        <v>157</v>
      </c>
      <c r="B2143" s="98">
        <v>2018</v>
      </c>
      <c r="C2143" s="98">
        <v>101.84611</v>
      </c>
    </row>
    <row r="2144" spans="1:3" x14ac:dyDescent="0.3">
      <c r="A2144" s="98" t="s">
        <v>157</v>
      </c>
      <c r="B2144" s="98">
        <v>2019</v>
      </c>
      <c r="C2144" s="98">
        <v>101.33647000000001</v>
      </c>
    </row>
    <row r="2145" spans="1:3" x14ac:dyDescent="0.3">
      <c r="A2145" s="98" t="s">
        <v>157</v>
      </c>
      <c r="B2145" s="98">
        <v>2020</v>
      </c>
      <c r="C2145" s="98">
        <v>109.17176000000001</v>
      </c>
    </row>
    <row r="2146" spans="1:3" x14ac:dyDescent="0.3">
      <c r="A2146" s="98" t="s">
        <v>157</v>
      </c>
      <c r="B2146" s="98">
        <v>2021</v>
      </c>
      <c r="C2146" s="98">
        <v>113.14118000000001</v>
      </c>
    </row>
    <row r="2147" spans="1:3" x14ac:dyDescent="0.3">
      <c r="A2147" s="98" t="s">
        <v>157</v>
      </c>
      <c r="B2147" s="98">
        <v>2022</v>
      </c>
      <c r="C2147" s="98">
        <v>123.37353</v>
      </c>
    </row>
    <row r="2148" spans="1:3" x14ac:dyDescent="0.3">
      <c r="A2148" s="98" t="s">
        <v>158</v>
      </c>
      <c r="B2148" s="98">
        <v>2001</v>
      </c>
      <c r="C2148" s="98">
        <v>1.9584801999999999</v>
      </c>
    </row>
    <row r="2149" spans="1:3" x14ac:dyDescent="0.3">
      <c r="A2149" s="98" t="s">
        <v>158</v>
      </c>
      <c r="B2149" s="98">
        <v>2002</v>
      </c>
      <c r="C2149" s="98">
        <v>1.7661604</v>
      </c>
    </row>
    <row r="2150" spans="1:3" x14ac:dyDescent="0.3">
      <c r="A2150" s="98" t="s">
        <v>158</v>
      </c>
      <c r="B2150" s="98">
        <v>2003</v>
      </c>
      <c r="C2150" s="98">
        <v>1.3333333000000001</v>
      </c>
    </row>
    <row r="2151" spans="1:3" x14ac:dyDescent="0.3">
      <c r="A2151" s="98" t="s">
        <v>158</v>
      </c>
      <c r="B2151" s="98">
        <v>2004</v>
      </c>
      <c r="C2151" s="98">
        <v>1.2836970000000001</v>
      </c>
    </row>
    <row r="2152" spans="1:3" x14ac:dyDescent="0.3">
      <c r="A2152" s="98" t="s">
        <v>158</v>
      </c>
      <c r="B2152" s="98">
        <v>2005</v>
      </c>
      <c r="C2152" s="98">
        <v>1.3629549000000001</v>
      </c>
    </row>
    <row r="2153" spans="1:3" x14ac:dyDescent="0.3">
      <c r="A2153" s="98" t="s">
        <v>158</v>
      </c>
      <c r="B2153" s="98">
        <v>2006</v>
      </c>
      <c r="C2153" s="98">
        <v>1.2637432</v>
      </c>
    </row>
    <row r="2154" spans="1:3" x14ac:dyDescent="0.3">
      <c r="A2154" s="98" t="s">
        <v>158</v>
      </c>
      <c r="B2154" s="98">
        <v>2007</v>
      </c>
      <c r="C2154" s="98">
        <v>1.1343013</v>
      </c>
    </row>
    <row r="2155" spans="1:3" x14ac:dyDescent="0.3">
      <c r="A2155" s="98" t="s">
        <v>158</v>
      </c>
      <c r="B2155" s="98">
        <v>2008</v>
      </c>
      <c r="C2155" s="98">
        <v>1.4434180000000001</v>
      </c>
    </row>
    <row r="2156" spans="1:3" x14ac:dyDescent="0.3">
      <c r="A2156" s="98" t="s">
        <v>158</v>
      </c>
      <c r="B2156" s="98">
        <v>2009</v>
      </c>
      <c r="C2156" s="98">
        <v>1.1149515000000001</v>
      </c>
    </row>
    <row r="2157" spans="1:3" x14ac:dyDescent="0.3">
      <c r="A2157" s="98" t="s">
        <v>158</v>
      </c>
      <c r="B2157" s="98">
        <v>2010</v>
      </c>
      <c r="C2157" s="98">
        <v>0.98396143000000003</v>
      </c>
    </row>
    <row r="2158" spans="1:3" x14ac:dyDescent="0.3">
      <c r="A2158" s="98" t="s">
        <v>158</v>
      </c>
      <c r="B2158" s="98">
        <v>2011</v>
      </c>
      <c r="C2158" s="98">
        <v>0.98463962000000005</v>
      </c>
    </row>
    <row r="2159" spans="1:3" x14ac:dyDescent="0.3">
      <c r="A2159" s="98" t="s">
        <v>158</v>
      </c>
      <c r="B2159" s="98">
        <v>2012</v>
      </c>
      <c r="C2159" s="98">
        <v>0.96107640999999999</v>
      </c>
    </row>
    <row r="2160" spans="1:3" x14ac:dyDescent="0.3">
      <c r="A2160" s="98" t="s">
        <v>158</v>
      </c>
      <c r="B2160" s="98">
        <v>2013</v>
      </c>
      <c r="C2160" s="98">
        <v>1.1280315999999999</v>
      </c>
    </row>
    <row r="2161" spans="1:3" x14ac:dyDescent="0.3">
      <c r="A2161" s="98" t="s">
        <v>158</v>
      </c>
      <c r="B2161" s="98">
        <v>2014</v>
      </c>
      <c r="C2161" s="98">
        <v>1.2192148</v>
      </c>
    </row>
    <row r="2162" spans="1:3" x14ac:dyDescent="0.3">
      <c r="A2162" s="98" t="s">
        <v>158</v>
      </c>
      <c r="B2162" s="98">
        <v>2015</v>
      </c>
      <c r="C2162" s="98">
        <v>1.368738</v>
      </c>
    </row>
    <row r="2163" spans="1:3" x14ac:dyDescent="0.3">
      <c r="A2163" s="98" t="s">
        <v>158</v>
      </c>
      <c r="B2163" s="98">
        <v>2016</v>
      </c>
      <c r="C2163" s="98">
        <v>1.3819790000000001</v>
      </c>
    </row>
    <row r="2164" spans="1:3" x14ac:dyDescent="0.3">
      <c r="A2164" s="98" t="s">
        <v>158</v>
      </c>
      <c r="B2164" s="98">
        <v>2017</v>
      </c>
      <c r="C2164" s="98">
        <v>1.2820513</v>
      </c>
    </row>
    <row r="2165" spans="1:3" x14ac:dyDescent="0.3">
      <c r="A2165" s="98" t="s">
        <v>158</v>
      </c>
      <c r="B2165" s="98">
        <v>2018</v>
      </c>
      <c r="C2165" s="98">
        <v>1.4168320000000001</v>
      </c>
    </row>
    <row r="2166" spans="1:3" x14ac:dyDescent="0.3">
      <c r="A2166" s="98" t="s">
        <v>158</v>
      </c>
      <c r="B2166" s="98">
        <v>2019</v>
      </c>
      <c r="C2166" s="98">
        <v>1.4273480000000001</v>
      </c>
    </row>
    <row r="2167" spans="1:3" x14ac:dyDescent="0.3">
      <c r="A2167" s="98" t="s">
        <v>158</v>
      </c>
      <c r="B2167" s="98">
        <v>2020</v>
      </c>
      <c r="C2167" s="98">
        <v>1.2983640999999999</v>
      </c>
    </row>
    <row r="2168" spans="1:3" x14ac:dyDescent="0.3">
      <c r="A2168" s="98" t="s">
        <v>158</v>
      </c>
      <c r="B2168" s="98">
        <v>2021</v>
      </c>
      <c r="C2168" s="98">
        <v>1.3781698</v>
      </c>
    </row>
    <row r="2169" spans="1:3" x14ac:dyDescent="0.3">
      <c r="A2169" s="98" t="s">
        <v>158</v>
      </c>
      <c r="B2169" s="98">
        <v>2022</v>
      </c>
      <c r="C2169" s="98">
        <v>1.4760148</v>
      </c>
    </row>
    <row r="2170" spans="1:3" x14ac:dyDescent="0.3">
      <c r="A2170" s="98" t="s">
        <v>159</v>
      </c>
      <c r="B2170" s="98">
        <v>2001</v>
      </c>
      <c r="C2170" s="98">
        <v>1326.1</v>
      </c>
    </row>
    <row r="2171" spans="1:3" x14ac:dyDescent="0.3">
      <c r="A2171" s="98" t="s">
        <v>159</v>
      </c>
      <c r="B2171" s="98">
        <v>2002</v>
      </c>
      <c r="C2171" s="98">
        <v>1200.4000000000001</v>
      </c>
    </row>
    <row r="2172" spans="1:3" x14ac:dyDescent="0.3">
      <c r="A2172" s="98" t="s">
        <v>159</v>
      </c>
      <c r="B2172" s="98">
        <v>2003</v>
      </c>
      <c r="C2172" s="98">
        <v>1197.8</v>
      </c>
    </row>
    <row r="2173" spans="1:3" x14ac:dyDescent="0.3">
      <c r="A2173" s="98" t="s">
        <v>159</v>
      </c>
      <c r="B2173" s="98">
        <v>2004</v>
      </c>
      <c r="C2173" s="98">
        <v>1043.8</v>
      </c>
    </row>
    <row r="2174" spans="1:3" x14ac:dyDescent="0.3">
      <c r="A2174" s="98" t="s">
        <v>159</v>
      </c>
      <c r="B2174" s="98">
        <v>2005</v>
      </c>
      <c r="C2174" s="98">
        <v>1013</v>
      </c>
    </row>
    <row r="2175" spans="1:3" x14ac:dyDescent="0.3">
      <c r="A2175" s="98" t="s">
        <v>159</v>
      </c>
      <c r="B2175" s="98">
        <v>2006</v>
      </c>
      <c r="C2175" s="98">
        <v>929.6</v>
      </c>
    </row>
    <row r="2176" spans="1:3" x14ac:dyDescent="0.3">
      <c r="A2176" s="98" t="s">
        <v>159</v>
      </c>
      <c r="B2176" s="98">
        <v>2007</v>
      </c>
      <c r="C2176" s="98">
        <v>938.2</v>
      </c>
    </row>
    <row r="2177" spans="1:3" x14ac:dyDescent="0.3">
      <c r="A2177" s="98" t="s">
        <v>159</v>
      </c>
      <c r="B2177" s="98">
        <v>2008</v>
      </c>
      <c r="C2177" s="98">
        <v>1257.5</v>
      </c>
    </row>
    <row r="2178" spans="1:3" x14ac:dyDescent="0.3">
      <c r="A2178" s="98" t="s">
        <v>159</v>
      </c>
      <c r="B2178" s="98">
        <v>2009</v>
      </c>
      <c r="C2178" s="98">
        <v>1167.5999999999999</v>
      </c>
    </row>
    <row r="2179" spans="1:3" x14ac:dyDescent="0.3">
      <c r="A2179" s="98" t="s">
        <v>159</v>
      </c>
      <c r="B2179" s="98">
        <v>2010</v>
      </c>
      <c r="C2179" s="98">
        <v>1138.9000000000001</v>
      </c>
    </row>
    <row r="2180" spans="1:3" x14ac:dyDescent="0.3">
      <c r="A2180" s="98" t="s">
        <v>159</v>
      </c>
      <c r="B2180" s="98">
        <v>2011</v>
      </c>
      <c r="C2180" s="98">
        <v>1153.3</v>
      </c>
    </row>
    <row r="2181" spans="1:3" x14ac:dyDescent="0.3">
      <c r="A2181" s="98" t="s">
        <v>159</v>
      </c>
      <c r="B2181" s="98">
        <v>2012</v>
      </c>
      <c r="C2181" s="98">
        <v>1071.0999999999999</v>
      </c>
    </row>
    <row r="2182" spans="1:3" x14ac:dyDescent="0.3">
      <c r="A2182" s="98" t="s">
        <v>159</v>
      </c>
      <c r="B2182" s="98">
        <v>2013</v>
      </c>
      <c r="C2182" s="98">
        <v>1055.3</v>
      </c>
    </row>
    <row r="2183" spans="1:3" x14ac:dyDescent="0.3">
      <c r="A2183" s="98" t="s">
        <v>159</v>
      </c>
      <c r="B2183" s="98">
        <v>2014</v>
      </c>
      <c r="C2183" s="98">
        <v>1099.2</v>
      </c>
    </row>
    <row r="2184" spans="1:3" x14ac:dyDescent="0.3">
      <c r="A2184" s="98" t="s">
        <v>159</v>
      </c>
      <c r="B2184" s="98">
        <v>2015</v>
      </c>
      <c r="C2184" s="98">
        <v>1172</v>
      </c>
    </row>
    <row r="2185" spans="1:3" x14ac:dyDescent="0.3">
      <c r="A2185" s="98" t="s">
        <v>159</v>
      </c>
      <c r="B2185" s="98">
        <v>2016</v>
      </c>
      <c r="C2185" s="98">
        <v>1208.5</v>
      </c>
    </row>
    <row r="2186" spans="1:3" x14ac:dyDescent="0.3">
      <c r="A2186" s="98" t="s">
        <v>159</v>
      </c>
      <c r="B2186" s="98">
        <v>2017</v>
      </c>
      <c r="C2186" s="98">
        <v>1071.4000000000001</v>
      </c>
    </row>
    <row r="2187" spans="1:3" x14ac:dyDescent="0.3">
      <c r="A2187" s="98" t="s">
        <v>159</v>
      </c>
      <c r="B2187" s="98">
        <v>2018</v>
      </c>
      <c r="C2187" s="98">
        <v>1118.0999999999999</v>
      </c>
    </row>
    <row r="2188" spans="1:3" x14ac:dyDescent="0.3">
      <c r="A2188" s="98" t="s">
        <v>159</v>
      </c>
      <c r="B2188" s="98">
        <v>2019</v>
      </c>
      <c r="C2188" s="98">
        <v>1157.8</v>
      </c>
    </row>
    <row r="2189" spans="1:3" x14ac:dyDescent="0.3">
      <c r="A2189" s="98" t="s">
        <v>159</v>
      </c>
      <c r="B2189" s="98">
        <v>2020</v>
      </c>
      <c r="C2189" s="98">
        <v>1088</v>
      </c>
    </row>
    <row r="2190" spans="1:3" x14ac:dyDescent="0.3">
      <c r="A2190" s="98" t="s">
        <v>159</v>
      </c>
      <c r="B2190" s="98">
        <v>2021</v>
      </c>
      <c r="C2190" s="98">
        <v>1186.5999999999999</v>
      </c>
    </row>
    <row r="2191" spans="1:3" x14ac:dyDescent="0.3">
      <c r="A2191" s="98" t="s">
        <v>159</v>
      </c>
      <c r="B2191" s="98">
        <v>2022</v>
      </c>
      <c r="C2191" s="98">
        <v>1267.3</v>
      </c>
    </row>
    <row r="2192" spans="1:3" x14ac:dyDescent="0.3">
      <c r="A2192" s="98" t="s">
        <v>160</v>
      </c>
      <c r="B2192" s="98">
        <v>2001</v>
      </c>
    </row>
    <row r="2193" spans="1:3" x14ac:dyDescent="0.3">
      <c r="A2193" s="98" t="s">
        <v>160</v>
      </c>
      <c r="B2193" s="98">
        <v>2002</v>
      </c>
      <c r="C2193" s="98">
        <v>0.95356154999999998</v>
      </c>
    </row>
    <row r="2194" spans="1:3" x14ac:dyDescent="0.3">
      <c r="A2194" s="98" t="s">
        <v>160</v>
      </c>
      <c r="B2194" s="98">
        <v>2003</v>
      </c>
      <c r="C2194" s="98">
        <v>0.79176564000000005</v>
      </c>
    </row>
    <row r="2195" spans="1:3" x14ac:dyDescent="0.3">
      <c r="A2195" s="98" t="s">
        <v>160</v>
      </c>
      <c r="B2195" s="98">
        <v>2004</v>
      </c>
      <c r="C2195" s="98">
        <v>0.73416049000000005</v>
      </c>
    </row>
    <row r="2196" spans="1:3" x14ac:dyDescent="0.3">
      <c r="A2196" s="98" t="s">
        <v>160</v>
      </c>
      <c r="B2196" s="98">
        <v>2005</v>
      </c>
      <c r="C2196" s="98">
        <v>0.84767314000000005</v>
      </c>
    </row>
    <row r="2197" spans="1:3" x14ac:dyDescent="0.3">
      <c r="A2197" s="98" t="s">
        <v>160</v>
      </c>
      <c r="B2197" s="98">
        <v>2006</v>
      </c>
      <c r="C2197" s="98">
        <v>0.75930143999999999</v>
      </c>
    </row>
    <row r="2198" spans="1:3" x14ac:dyDescent="0.3">
      <c r="A2198" s="98" t="s">
        <v>160</v>
      </c>
      <c r="B2198" s="98">
        <v>2007</v>
      </c>
      <c r="C2198" s="98">
        <v>0.67930168000000002</v>
      </c>
    </row>
    <row r="2199" spans="1:3" x14ac:dyDescent="0.3">
      <c r="A2199" s="98" t="s">
        <v>160</v>
      </c>
      <c r="B2199" s="98">
        <v>2008</v>
      </c>
      <c r="C2199" s="98">
        <v>0.71854565999999997</v>
      </c>
    </row>
    <row r="2200" spans="1:3" x14ac:dyDescent="0.3">
      <c r="A2200" s="98" t="s">
        <v>160</v>
      </c>
      <c r="B2200" s="98">
        <v>2009</v>
      </c>
      <c r="C2200" s="98">
        <v>0.69415521000000002</v>
      </c>
    </row>
    <row r="2201" spans="1:3" x14ac:dyDescent="0.3">
      <c r="A2201" s="98" t="s">
        <v>160</v>
      </c>
      <c r="B2201" s="98">
        <v>2010</v>
      </c>
      <c r="C2201" s="98">
        <v>0.74839096000000005</v>
      </c>
    </row>
    <row r="2202" spans="1:3" x14ac:dyDescent="0.3">
      <c r="A2202" s="98" t="s">
        <v>160</v>
      </c>
      <c r="B2202" s="98">
        <v>2011</v>
      </c>
      <c r="C2202" s="98">
        <v>0.77285725000000005</v>
      </c>
    </row>
    <row r="2203" spans="1:3" x14ac:dyDescent="0.3">
      <c r="A2203" s="98" t="s">
        <v>160</v>
      </c>
      <c r="B2203" s="98">
        <v>2012</v>
      </c>
      <c r="C2203" s="98">
        <v>0.75792026999999995</v>
      </c>
    </row>
    <row r="2204" spans="1:3" x14ac:dyDescent="0.3">
      <c r="A2204" s="98" t="s">
        <v>160</v>
      </c>
      <c r="B2204" s="98">
        <v>2013</v>
      </c>
      <c r="C2204" s="98">
        <v>0.72511057999999995</v>
      </c>
    </row>
    <row r="2205" spans="1:3" x14ac:dyDescent="0.3">
      <c r="A2205" s="98" t="s">
        <v>160</v>
      </c>
      <c r="B2205" s="98">
        <v>2014</v>
      </c>
      <c r="C2205" s="98">
        <v>0.82365538000000005</v>
      </c>
    </row>
    <row r="2206" spans="1:3" x14ac:dyDescent="0.3">
      <c r="A2206" s="98" t="s">
        <v>160</v>
      </c>
      <c r="B2206" s="98">
        <v>2015</v>
      </c>
      <c r="C2206" s="98">
        <v>0.91852668000000004</v>
      </c>
    </row>
    <row r="2207" spans="1:3" x14ac:dyDescent="0.3">
      <c r="A2207" s="98" t="s">
        <v>160</v>
      </c>
      <c r="B2207" s="98">
        <v>2016</v>
      </c>
      <c r="C2207" s="98">
        <v>0.94867659999999998</v>
      </c>
    </row>
    <row r="2208" spans="1:3" x14ac:dyDescent="0.3">
      <c r="A2208" s="98" t="s">
        <v>160</v>
      </c>
      <c r="B2208" s="98">
        <v>2017</v>
      </c>
      <c r="C2208" s="98">
        <v>0.83381972999999998</v>
      </c>
    </row>
    <row r="2209" spans="1:3" x14ac:dyDescent="0.3">
      <c r="A2209" s="98" t="s">
        <v>160</v>
      </c>
      <c r="B2209" s="98">
        <v>2018</v>
      </c>
      <c r="C2209" s="98">
        <v>0.87336245000000001</v>
      </c>
    </row>
    <row r="2210" spans="1:3" x14ac:dyDescent="0.3">
      <c r="A2210" s="98" t="s">
        <v>160</v>
      </c>
      <c r="B2210" s="98">
        <v>2019</v>
      </c>
      <c r="C2210" s="98">
        <v>0.89015489000000003</v>
      </c>
    </row>
    <row r="2211" spans="1:3" x14ac:dyDescent="0.3">
      <c r="A2211" s="98" t="s">
        <v>160</v>
      </c>
      <c r="B2211" s="98">
        <v>2020</v>
      </c>
      <c r="C2211" s="98">
        <v>0.81492951000000002</v>
      </c>
    </row>
    <row r="2212" spans="1:3" x14ac:dyDescent="0.3">
      <c r="A2212" s="98" t="s">
        <v>160</v>
      </c>
      <c r="B2212" s="98">
        <v>2021</v>
      </c>
      <c r="C2212" s="98">
        <v>0.88292424999999997</v>
      </c>
    </row>
    <row r="2213" spans="1:3" x14ac:dyDescent="0.3">
      <c r="A2213" s="98" t="s">
        <v>160</v>
      </c>
      <c r="B2213" s="98">
        <v>2022</v>
      </c>
      <c r="C2213" s="98">
        <v>0.93755860000000002</v>
      </c>
    </row>
    <row r="2214" spans="1:3" x14ac:dyDescent="0.3">
      <c r="A2214" s="98" t="s">
        <v>161</v>
      </c>
      <c r="B2214" s="98">
        <v>2001</v>
      </c>
      <c r="C2214" s="98">
        <v>0.30787228999999999</v>
      </c>
    </row>
    <row r="2215" spans="1:3" x14ac:dyDescent="0.3">
      <c r="A2215" s="98" t="s">
        <v>161</v>
      </c>
      <c r="B2215" s="98">
        <v>2002</v>
      </c>
      <c r="C2215" s="98">
        <v>0.29956263999999999</v>
      </c>
    </row>
    <row r="2216" spans="1:3" x14ac:dyDescent="0.3">
      <c r="A2216" s="98" t="s">
        <v>161</v>
      </c>
      <c r="B2216" s="98">
        <v>2003</v>
      </c>
      <c r="C2216" s="98">
        <v>0.29470011000000002</v>
      </c>
    </row>
    <row r="2217" spans="1:3" x14ac:dyDescent="0.3">
      <c r="A2217" s="98" t="s">
        <v>161</v>
      </c>
      <c r="B2217" s="98">
        <v>2004</v>
      </c>
      <c r="C2217" s="98">
        <v>0.29469837999999998</v>
      </c>
    </row>
    <row r="2218" spans="1:3" x14ac:dyDescent="0.3">
      <c r="A2218" s="98" t="s">
        <v>161</v>
      </c>
      <c r="B2218" s="98">
        <v>2005</v>
      </c>
      <c r="C2218" s="98">
        <v>0.29199978999999998</v>
      </c>
    </row>
    <row r="2219" spans="1:3" x14ac:dyDescent="0.3">
      <c r="A2219" s="98" t="s">
        <v>161</v>
      </c>
      <c r="B2219" s="98">
        <v>2006</v>
      </c>
      <c r="C2219" s="98">
        <v>0.28914268999999998</v>
      </c>
    </row>
    <row r="2220" spans="1:3" x14ac:dyDescent="0.3">
      <c r="A2220" s="98" t="s">
        <v>161</v>
      </c>
      <c r="B2220" s="98">
        <v>2007</v>
      </c>
      <c r="C2220" s="98">
        <v>0.27300026999999999</v>
      </c>
    </row>
    <row r="2221" spans="1:3" x14ac:dyDescent="0.3">
      <c r="A2221" s="98" t="s">
        <v>161</v>
      </c>
      <c r="B2221" s="98">
        <v>2008</v>
      </c>
      <c r="C2221" s="98">
        <v>0.27595342</v>
      </c>
    </row>
    <row r="2222" spans="1:3" x14ac:dyDescent="0.3">
      <c r="A2222" s="98" t="s">
        <v>161</v>
      </c>
      <c r="B2222" s="98">
        <v>2009</v>
      </c>
      <c r="C2222" s="98">
        <v>0.28679591999999998</v>
      </c>
    </row>
    <row r="2223" spans="1:3" x14ac:dyDescent="0.3">
      <c r="A2223" s="98" t="s">
        <v>161</v>
      </c>
      <c r="B2223" s="98">
        <v>2010</v>
      </c>
      <c r="C2223" s="98">
        <v>0.28060000000000002</v>
      </c>
    </row>
    <row r="2224" spans="1:3" x14ac:dyDescent="0.3">
      <c r="A2224" s="98" t="s">
        <v>161</v>
      </c>
      <c r="B2224" s="98">
        <v>2011</v>
      </c>
      <c r="C2224" s="98">
        <v>0.27855152999999999</v>
      </c>
    </row>
    <row r="2225" spans="1:3" x14ac:dyDescent="0.3">
      <c r="A2225" s="98" t="s">
        <v>161</v>
      </c>
      <c r="B2225" s="98">
        <v>2012</v>
      </c>
      <c r="C2225" s="98">
        <v>0.28124648000000002</v>
      </c>
    </row>
    <row r="2226" spans="1:3" x14ac:dyDescent="0.3">
      <c r="A2226" s="98" t="s">
        <v>161</v>
      </c>
      <c r="B2226" s="98">
        <v>2013</v>
      </c>
      <c r="C2226" s="98">
        <v>0.28204766999999997</v>
      </c>
    </row>
    <row r="2227" spans="1:3" x14ac:dyDescent="0.3">
      <c r="A2227" s="98" t="s">
        <v>161</v>
      </c>
      <c r="B2227" s="98">
        <v>2014</v>
      </c>
      <c r="C2227" s="98">
        <v>0.29280004999999998</v>
      </c>
    </row>
    <row r="2228" spans="1:3" x14ac:dyDescent="0.3">
      <c r="A2228" s="98" t="s">
        <v>161</v>
      </c>
      <c r="B2228" s="98">
        <v>2015</v>
      </c>
      <c r="C2228" s="98">
        <v>0.30349935</v>
      </c>
    </row>
    <row r="2229" spans="1:3" x14ac:dyDescent="0.3">
      <c r="A2229" s="98" t="s">
        <v>161</v>
      </c>
      <c r="B2229" s="98">
        <v>2016</v>
      </c>
      <c r="C2229" s="98">
        <v>0.30614999999999998</v>
      </c>
    </row>
    <row r="2230" spans="1:3" x14ac:dyDescent="0.3">
      <c r="A2230" s="98" t="s">
        <v>161</v>
      </c>
      <c r="B2230" s="98">
        <v>2017</v>
      </c>
      <c r="C2230" s="98">
        <v>0.3019</v>
      </c>
    </row>
    <row r="2231" spans="1:3" x14ac:dyDescent="0.3">
      <c r="A2231" s="98" t="s">
        <v>161</v>
      </c>
      <c r="B2231" s="98">
        <v>2018</v>
      </c>
      <c r="C2231" s="98">
        <v>0.30354999999999999</v>
      </c>
    </row>
    <row r="2232" spans="1:3" x14ac:dyDescent="0.3">
      <c r="A2232" s="98" t="s">
        <v>161</v>
      </c>
      <c r="B2232" s="98">
        <v>2019</v>
      </c>
      <c r="C2232" s="98">
        <v>0.30304999999999999</v>
      </c>
    </row>
    <row r="2233" spans="1:3" x14ac:dyDescent="0.3">
      <c r="A2233" s="98" t="s">
        <v>161</v>
      </c>
      <c r="B2233" s="98">
        <v>2020</v>
      </c>
      <c r="C2233" s="98">
        <v>0.30359999999999998</v>
      </c>
    </row>
    <row r="2234" spans="1:3" x14ac:dyDescent="0.3">
      <c r="A2234" s="98" t="s">
        <v>161</v>
      </c>
      <c r="B2234" s="98">
        <v>2021</v>
      </c>
      <c r="C2234" s="98">
        <v>0.30249999999999999</v>
      </c>
    </row>
    <row r="2235" spans="1:3" x14ac:dyDescent="0.3">
      <c r="A2235" s="98" t="s">
        <v>161</v>
      </c>
      <c r="B2235" s="98">
        <v>2022</v>
      </c>
      <c r="C2235" s="98">
        <v>0.30604999999999999</v>
      </c>
    </row>
    <row r="2236" spans="1:3" x14ac:dyDescent="0.3">
      <c r="A2236" s="98" t="s">
        <v>162</v>
      </c>
      <c r="B2236" s="98">
        <v>2001</v>
      </c>
      <c r="C2236" s="98">
        <v>47.718600000000002</v>
      </c>
    </row>
    <row r="2237" spans="1:3" x14ac:dyDescent="0.3">
      <c r="A2237" s="98" t="s">
        <v>162</v>
      </c>
      <c r="B2237" s="98">
        <v>2002</v>
      </c>
      <c r="C2237" s="98">
        <v>46.094900000000003</v>
      </c>
    </row>
    <row r="2238" spans="1:3" x14ac:dyDescent="0.3">
      <c r="A2238" s="98" t="s">
        <v>162</v>
      </c>
      <c r="B2238" s="98">
        <v>2003</v>
      </c>
      <c r="C2238" s="98">
        <v>44.190199999999997</v>
      </c>
    </row>
    <row r="2239" spans="1:3" x14ac:dyDescent="0.3">
      <c r="A2239" s="98" t="s">
        <v>162</v>
      </c>
      <c r="B2239" s="98">
        <v>2004</v>
      </c>
      <c r="C2239" s="98">
        <v>41.624600000000001</v>
      </c>
    </row>
    <row r="2240" spans="1:3" x14ac:dyDescent="0.3">
      <c r="A2240" s="98" t="s">
        <v>162</v>
      </c>
      <c r="B2240" s="98">
        <v>2005</v>
      </c>
      <c r="C2240" s="98">
        <v>41.301099999999998</v>
      </c>
    </row>
    <row r="2241" spans="1:3" x14ac:dyDescent="0.3">
      <c r="A2241" s="98" t="s">
        <v>162</v>
      </c>
      <c r="B2241" s="98">
        <v>2006</v>
      </c>
      <c r="C2241" s="98">
        <v>38.123800000000003</v>
      </c>
    </row>
    <row r="2242" spans="1:3" x14ac:dyDescent="0.3">
      <c r="A2242" s="98" t="s">
        <v>162</v>
      </c>
      <c r="B2242" s="98">
        <v>2007</v>
      </c>
      <c r="C2242" s="98">
        <v>35.498800000000003</v>
      </c>
    </row>
    <row r="2243" spans="1:3" x14ac:dyDescent="0.3">
      <c r="A2243" s="98" t="s">
        <v>162</v>
      </c>
      <c r="B2243" s="98">
        <v>2008</v>
      </c>
      <c r="C2243" s="98">
        <v>39.418100000000003</v>
      </c>
    </row>
    <row r="2244" spans="1:3" x14ac:dyDescent="0.3">
      <c r="A2244" s="98" t="s">
        <v>162</v>
      </c>
      <c r="B2244" s="98">
        <v>2009</v>
      </c>
      <c r="C2244" s="98">
        <v>44.091700000000003</v>
      </c>
    </row>
    <row r="2245" spans="1:3" x14ac:dyDescent="0.3">
      <c r="A2245" s="98" t="s">
        <v>162</v>
      </c>
      <c r="B2245" s="98">
        <v>2010</v>
      </c>
      <c r="C2245" s="98">
        <v>47.099200000000003</v>
      </c>
    </row>
    <row r="2246" spans="1:3" x14ac:dyDescent="0.3">
      <c r="A2246" s="98" t="s">
        <v>162</v>
      </c>
      <c r="B2246" s="98">
        <v>2011</v>
      </c>
      <c r="C2246" s="98">
        <v>46.484699999999997</v>
      </c>
    </row>
    <row r="2247" spans="1:3" x14ac:dyDescent="0.3">
      <c r="A2247" s="98" t="s">
        <v>162</v>
      </c>
      <c r="B2247" s="98">
        <v>2012</v>
      </c>
      <c r="C2247" s="98">
        <v>47.401200000000003</v>
      </c>
    </row>
    <row r="2248" spans="1:3" x14ac:dyDescent="0.3">
      <c r="A2248" s="98" t="s">
        <v>162</v>
      </c>
      <c r="B2248" s="98">
        <v>2013</v>
      </c>
      <c r="C2248" s="98">
        <v>49.247</v>
      </c>
    </row>
    <row r="2249" spans="1:3" x14ac:dyDescent="0.3">
      <c r="A2249" s="98" t="s">
        <v>162</v>
      </c>
      <c r="B2249" s="98">
        <v>2014</v>
      </c>
      <c r="C2249" s="98">
        <v>58.886499999999998</v>
      </c>
    </row>
    <row r="2250" spans="1:3" x14ac:dyDescent="0.3">
      <c r="A2250" s="98" t="s">
        <v>162</v>
      </c>
      <c r="B2250" s="98">
        <v>2015</v>
      </c>
      <c r="C2250" s="98">
        <v>75.899299999999997</v>
      </c>
    </row>
    <row r="2251" spans="1:3" x14ac:dyDescent="0.3">
      <c r="A2251" s="98" t="s">
        <v>162</v>
      </c>
      <c r="B2251" s="98">
        <v>2016</v>
      </c>
      <c r="C2251" s="98">
        <v>69.230099999999993</v>
      </c>
    </row>
    <row r="2252" spans="1:3" x14ac:dyDescent="0.3">
      <c r="A2252" s="98" t="s">
        <v>162</v>
      </c>
      <c r="B2252" s="98">
        <v>2017</v>
      </c>
      <c r="C2252" s="98">
        <v>68.839500000000001</v>
      </c>
    </row>
    <row r="2253" spans="1:3" x14ac:dyDescent="0.3">
      <c r="A2253" s="98" t="s">
        <v>162</v>
      </c>
      <c r="B2253" s="98">
        <v>2018</v>
      </c>
      <c r="C2253" s="98">
        <v>69.849999999999994</v>
      </c>
    </row>
    <row r="2254" spans="1:3" x14ac:dyDescent="0.3">
      <c r="A2254" s="98" t="s">
        <v>162</v>
      </c>
      <c r="B2254" s="98">
        <v>2019</v>
      </c>
      <c r="C2254" s="98">
        <v>69.643900000000002</v>
      </c>
    </row>
    <row r="2255" spans="1:3" x14ac:dyDescent="0.3">
      <c r="A2255" s="98" t="s">
        <v>162</v>
      </c>
      <c r="B2255" s="98">
        <v>2020</v>
      </c>
      <c r="C2255" s="98">
        <v>82.649799999999999</v>
      </c>
    </row>
    <row r="2256" spans="1:3" x14ac:dyDescent="0.3">
      <c r="A2256" s="98" t="s">
        <v>162</v>
      </c>
      <c r="B2256" s="98">
        <v>2021</v>
      </c>
      <c r="C2256" s="98">
        <v>84.758600000000001</v>
      </c>
    </row>
    <row r="2257" spans="1:3" x14ac:dyDescent="0.3">
      <c r="A2257" s="98" t="s">
        <v>162</v>
      </c>
      <c r="B2257" s="98">
        <v>2022</v>
      </c>
    </row>
    <row r="2258" spans="1:3" x14ac:dyDescent="0.3">
      <c r="A2258" s="98" t="s">
        <v>163</v>
      </c>
      <c r="B2258" s="98">
        <v>2001</v>
      </c>
      <c r="C2258" s="98">
        <v>9490</v>
      </c>
    </row>
    <row r="2259" spans="1:3" x14ac:dyDescent="0.3">
      <c r="A2259" s="98" t="s">
        <v>163</v>
      </c>
      <c r="B2259" s="98">
        <v>2002</v>
      </c>
      <c r="C2259" s="98">
        <v>10680</v>
      </c>
    </row>
    <row r="2260" spans="1:3" x14ac:dyDescent="0.3">
      <c r="A2260" s="98" t="s">
        <v>163</v>
      </c>
      <c r="B2260" s="98">
        <v>2003</v>
      </c>
      <c r="C2260" s="98">
        <v>10467</v>
      </c>
    </row>
    <row r="2261" spans="1:3" x14ac:dyDescent="0.3">
      <c r="A2261" s="98" t="s">
        <v>163</v>
      </c>
      <c r="B2261" s="98">
        <v>2004</v>
      </c>
      <c r="C2261" s="98">
        <v>10376.5</v>
      </c>
    </row>
    <row r="2262" spans="1:3" x14ac:dyDescent="0.3">
      <c r="A2262" s="98" t="s">
        <v>163</v>
      </c>
      <c r="B2262" s="98">
        <v>2005</v>
      </c>
      <c r="C2262" s="98">
        <v>10743</v>
      </c>
    </row>
    <row r="2263" spans="1:3" x14ac:dyDescent="0.3">
      <c r="A2263" s="98" t="s">
        <v>163</v>
      </c>
      <c r="B2263" s="98">
        <v>2006</v>
      </c>
      <c r="C2263" s="98">
        <v>9730</v>
      </c>
    </row>
    <row r="2264" spans="1:3" x14ac:dyDescent="0.3">
      <c r="A2264" s="98" t="s">
        <v>163</v>
      </c>
      <c r="B2264" s="98">
        <v>2007</v>
      </c>
      <c r="C2264" s="98">
        <v>9346</v>
      </c>
    </row>
    <row r="2265" spans="1:3" x14ac:dyDescent="0.3">
      <c r="A2265" s="98" t="s">
        <v>163</v>
      </c>
      <c r="B2265" s="98">
        <v>2008</v>
      </c>
      <c r="C2265" s="98">
        <v>8472</v>
      </c>
    </row>
    <row r="2266" spans="1:3" x14ac:dyDescent="0.3">
      <c r="A2266" s="98" t="s">
        <v>163</v>
      </c>
      <c r="B2266" s="98">
        <v>2009</v>
      </c>
      <c r="C2266" s="98">
        <v>8481</v>
      </c>
    </row>
    <row r="2267" spans="1:3" x14ac:dyDescent="0.3">
      <c r="A2267" s="98" t="s">
        <v>163</v>
      </c>
      <c r="B2267" s="98">
        <v>2010</v>
      </c>
      <c r="C2267" s="98">
        <v>8058</v>
      </c>
    </row>
    <row r="2268" spans="1:3" x14ac:dyDescent="0.3">
      <c r="A2268" s="98" t="s">
        <v>163</v>
      </c>
      <c r="B2268" s="98">
        <v>2011</v>
      </c>
      <c r="C2268" s="98">
        <v>8017.9048000000003</v>
      </c>
    </row>
    <row r="2269" spans="1:3" x14ac:dyDescent="0.3">
      <c r="A2269" s="98" t="s">
        <v>163</v>
      </c>
      <c r="B2269" s="98">
        <v>2012</v>
      </c>
      <c r="C2269" s="98">
        <v>7985</v>
      </c>
    </row>
    <row r="2270" spans="1:3" x14ac:dyDescent="0.3">
      <c r="A2270" s="98" t="s">
        <v>163</v>
      </c>
      <c r="B2270" s="98">
        <v>2013</v>
      </c>
      <c r="C2270" s="98">
        <v>8025</v>
      </c>
    </row>
    <row r="2271" spans="1:3" x14ac:dyDescent="0.3">
      <c r="A2271" s="98" t="s">
        <v>163</v>
      </c>
      <c r="B2271" s="98">
        <v>2014</v>
      </c>
      <c r="C2271" s="98">
        <v>8086</v>
      </c>
    </row>
    <row r="2272" spans="1:3" x14ac:dyDescent="0.3">
      <c r="A2272" s="98" t="s">
        <v>163</v>
      </c>
      <c r="B2272" s="98">
        <v>2015</v>
      </c>
      <c r="C2272" s="98">
        <v>8148</v>
      </c>
    </row>
    <row r="2273" spans="1:3" x14ac:dyDescent="0.3">
      <c r="A2273" s="98" t="s">
        <v>163</v>
      </c>
      <c r="B2273" s="98">
        <v>2016</v>
      </c>
      <c r="C2273" s="98">
        <v>8184</v>
      </c>
    </row>
    <row r="2274" spans="1:3" x14ac:dyDescent="0.3">
      <c r="A2274" s="98" t="s">
        <v>163</v>
      </c>
      <c r="B2274" s="98">
        <v>2017</v>
      </c>
      <c r="C2274" s="98">
        <v>8293</v>
      </c>
    </row>
    <row r="2275" spans="1:3" x14ac:dyDescent="0.3">
      <c r="A2275" s="98" t="s">
        <v>163</v>
      </c>
      <c r="B2275" s="98">
        <v>2018</v>
      </c>
      <c r="C2275" s="98">
        <v>8530</v>
      </c>
    </row>
    <row r="2276" spans="1:3" x14ac:dyDescent="0.3">
      <c r="A2276" s="98" t="s">
        <v>163</v>
      </c>
      <c r="B2276" s="98">
        <v>2019</v>
      </c>
      <c r="C2276" s="98">
        <v>8861</v>
      </c>
    </row>
    <row r="2277" spans="1:3" x14ac:dyDescent="0.3">
      <c r="A2277" s="98" t="s">
        <v>163</v>
      </c>
      <c r="B2277" s="98">
        <v>2020</v>
      </c>
      <c r="C2277" s="98">
        <v>9274</v>
      </c>
    </row>
    <row r="2278" spans="1:3" x14ac:dyDescent="0.3">
      <c r="A2278" s="98" t="s">
        <v>163</v>
      </c>
      <c r="B2278" s="98">
        <v>2021</v>
      </c>
      <c r="C2278" s="98">
        <v>11041</v>
      </c>
    </row>
    <row r="2279" spans="1:3" x14ac:dyDescent="0.3">
      <c r="A2279" s="98" t="s">
        <v>163</v>
      </c>
      <c r="B2279" s="98">
        <v>2022</v>
      </c>
      <c r="C2279" s="98">
        <v>16600</v>
      </c>
    </row>
    <row r="2280" spans="1:3" x14ac:dyDescent="0.3">
      <c r="A2280" s="98" t="s">
        <v>164</v>
      </c>
      <c r="B2280" s="98">
        <v>2001</v>
      </c>
      <c r="C2280" s="98">
        <v>0.63800000000000001</v>
      </c>
    </row>
    <row r="2281" spans="1:3" x14ac:dyDescent="0.3">
      <c r="A2281" s="98" t="s">
        <v>164</v>
      </c>
      <c r="B2281" s="98">
        <v>2002</v>
      </c>
      <c r="C2281" s="98">
        <v>0.59399999999999997</v>
      </c>
    </row>
    <row r="2282" spans="1:3" x14ac:dyDescent="0.3">
      <c r="A2282" s="98" t="s">
        <v>164</v>
      </c>
      <c r="B2282" s="98">
        <v>2003</v>
      </c>
      <c r="C2282" s="98">
        <v>0.54100000000000004</v>
      </c>
    </row>
    <row r="2283" spans="1:3" x14ac:dyDescent="0.3">
      <c r="A2283" s="98" t="s">
        <v>164</v>
      </c>
      <c r="B2283" s="98">
        <v>2004</v>
      </c>
      <c r="C2283" s="98">
        <v>0.51600000000000001</v>
      </c>
    </row>
    <row r="2284" spans="1:3" x14ac:dyDescent="0.3">
      <c r="A2284" s="98" t="s">
        <v>164</v>
      </c>
      <c r="B2284" s="98">
        <v>2005</v>
      </c>
      <c r="C2284" s="98">
        <v>0.59299999999999997</v>
      </c>
    </row>
    <row r="2285" spans="1:3" x14ac:dyDescent="0.3">
      <c r="A2285" s="98" t="s">
        <v>164</v>
      </c>
      <c r="B2285" s="98">
        <v>2006</v>
      </c>
      <c r="C2285" s="98">
        <v>0.53600000000000003</v>
      </c>
    </row>
    <row r="2286" spans="1:3" x14ac:dyDescent="0.3">
      <c r="A2286" s="98" t="s">
        <v>164</v>
      </c>
      <c r="B2286" s="98">
        <v>2007</v>
      </c>
      <c r="C2286" s="98">
        <v>0.48399999999999999</v>
      </c>
    </row>
    <row r="2287" spans="1:3" x14ac:dyDescent="0.3">
      <c r="A2287" s="98" t="s">
        <v>164</v>
      </c>
      <c r="B2287" s="98">
        <v>2008</v>
      </c>
      <c r="C2287" s="98">
        <v>0.495</v>
      </c>
    </row>
    <row r="2288" spans="1:3" x14ac:dyDescent="0.3">
      <c r="A2288" s="98" t="s">
        <v>164</v>
      </c>
      <c r="B2288" s="98">
        <v>2009</v>
      </c>
      <c r="C2288" s="98">
        <v>0.48899999999999999</v>
      </c>
    </row>
    <row r="2289" spans="1:3" x14ac:dyDescent="0.3">
      <c r="A2289" s="98" t="s">
        <v>164</v>
      </c>
      <c r="B2289" s="98">
        <v>2010</v>
      </c>
      <c r="C2289" s="98">
        <v>0.53500000000000003</v>
      </c>
    </row>
    <row r="2290" spans="1:3" x14ac:dyDescent="0.3">
      <c r="A2290" s="98" t="s">
        <v>164</v>
      </c>
      <c r="B2290" s="98">
        <v>2011</v>
      </c>
      <c r="C2290" s="98">
        <v>0.54400000000000004</v>
      </c>
    </row>
    <row r="2291" spans="1:3" x14ac:dyDescent="0.3">
      <c r="A2291" s="98" t="s">
        <v>164</v>
      </c>
      <c r="B2291" s="98">
        <v>2012</v>
      </c>
      <c r="C2291" s="98">
        <v>0.53100000000000003</v>
      </c>
    </row>
    <row r="2292" spans="1:3" x14ac:dyDescent="0.3">
      <c r="A2292" s="98" t="s">
        <v>164</v>
      </c>
      <c r="B2292" s="98">
        <v>2013</v>
      </c>
      <c r="C2292" s="98">
        <v>0.51500000000000001</v>
      </c>
    </row>
    <row r="2293" spans="1:3" x14ac:dyDescent="0.3">
      <c r="A2293" s="98" t="s">
        <v>164</v>
      </c>
      <c r="B2293" s="98">
        <v>2014</v>
      </c>
    </row>
    <row r="2294" spans="1:3" x14ac:dyDescent="0.3">
      <c r="A2294" s="98" t="s">
        <v>164</v>
      </c>
      <c r="B2294" s="98">
        <v>2015</v>
      </c>
    </row>
    <row r="2295" spans="1:3" x14ac:dyDescent="0.3">
      <c r="A2295" s="98" t="s">
        <v>164</v>
      </c>
      <c r="B2295" s="98">
        <v>2016</v>
      </c>
    </row>
    <row r="2296" spans="1:3" x14ac:dyDescent="0.3">
      <c r="A2296" s="98" t="s">
        <v>164</v>
      </c>
      <c r="B2296" s="98">
        <v>2017</v>
      </c>
    </row>
    <row r="2297" spans="1:3" x14ac:dyDescent="0.3">
      <c r="A2297" s="98" t="s">
        <v>164</v>
      </c>
      <c r="B2297" s="98">
        <v>2018</v>
      </c>
    </row>
    <row r="2298" spans="1:3" x14ac:dyDescent="0.3">
      <c r="A2298" s="98" t="s">
        <v>164</v>
      </c>
      <c r="B2298" s="98">
        <v>2019</v>
      </c>
    </row>
    <row r="2299" spans="1:3" x14ac:dyDescent="0.3">
      <c r="A2299" s="98" t="s">
        <v>164</v>
      </c>
      <c r="B2299" s="98">
        <v>2020</v>
      </c>
    </row>
    <row r="2300" spans="1:3" x14ac:dyDescent="0.3">
      <c r="A2300" s="98" t="s">
        <v>164</v>
      </c>
      <c r="B2300" s="98">
        <v>2021</v>
      </c>
    </row>
    <row r="2301" spans="1:3" x14ac:dyDescent="0.3">
      <c r="A2301" s="98" t="s">
        <v>164</v>
      </c>
      <c r="B2301" s="98">
        <v>2022</v>
      </c>
    </row>
    <row r="2302" spans="1:3" x14ac:dyDescent="0.3">
      <c r="A2302" s="98" t="s">
        <v>165</v>
      </c>
      <c r="B2302" s="98">
        <v>2001</v>
      </c>
      <c r="C2302" s="98">
        <v>1507.5</v>
      </c>
    </row>
    <row r="2303" spans="1:3" x14ac:dyDescent="0.3">
      <c r="A2303" s="98" t="s">
        <v>165</v>
      </c>
      <c r="B2303" s="98">
        <v>2002</v>
      </c>
      <c r="C2303" s="98">
        <v>1507.5</v>
      </c>
    </row>
    <row r="2304" spans="1:3" x14ac:dyDescent="0.3">
      <c r="A2304" s="98" t="s">
        <v>165</v>
      </c>
      <c r="B2304" s="98">
        <v>2003</v>
      </c>
      <c r="C2304" s="98">
        <v>1507.5</v>
      </c>
    </row>
    <row r="2305" spans="1:3" x14ac:dyDescent="0.3">
      <c r="A2305" s="98" t="s">
        <v>165</v>
      </c>
      <c r="B2305" s="98">
        <v>2004</v>
      </c>
      <c r="C2305" s="98">
        <v>1507.5</v>
      </c>
    </row>
    <row r="2306" spans="1:3" x14ac:dyDescent="0.3">
      <c r="A2306" s="98" t="s">
        <v>165</v>
      </c>
      <c r="B2306" s="98">
        <v>2005</v>
      </c>
      <c r="C2306" s="98">
        <v>1507.5</v>
      </c>
    </row>
    <row r="2307" spans="1:3" x14ac:dyDescent="0.3">
      <c r="A2307" s="98" t="s">
        <v>165</v>
      </c>
      <c r="B2307" s="98">
        <v>2006</v>
      </c>
      <c r="C2307" s="98">
        <v>1507.5</v>
      </c>
    </row>
    <row r="2308" spans="1:3" x14ac:dyDescent="0.3">
      <c r="A2308" s="98" t="s">
        <v>165</v>
      </c>
      <c r="B2308" s="98">
        <v>2007</v>
      </c>
      <c r="C2308" s="98">
        <v>1507.5</v>
      </c>
    </row>
    <row r="2309" spans="1:3" x14ac:dyDescent="0.3">
      <c r="A2309" s="98" t="s">
        <v>165</v>
      </c>
      <c r="B2309" s="98">
        <v>2008</v>
      </c>
      <c r="C2309" s="98">
        <v>1507.5</v>
      </c>
    </row>
    <row r="2310" spans="1:3" x14ac:dyDescent="0.3">
      <c r="A2310" s="98" t="s">
        <v>165</v>
      </c>
      <c r="B2310" s="98">
        <v>2009</v>
      </c>
      <c r="C2310" s="98">
        <v>1507.5</v>
      </c>
    </row>
    <row r="2311" spans="1:3" x14ac:dyDescent="0.3">
      <c r="A2311" s="98" t="s">
        <v>165</v>
      </c>
      <c r="B2311" s="98">
        <v>2010</v>
      </c>
      <c r="C2311" s="98">
        <v>1507.5</v>
      </c>
    </row>
    <row r="2312" spans="1:3" x14ac:dyDescent="0.3">
      <c r="A2312" s="98" t="s">
        <v>165</v>
      </c>
      <c r="B2312" s="98">
        <v>2011</v>
      </c>
      <c r="C2312" s="98">
        <v>1507.5</v>
      </c>
    </row>
    <row r="2313" spans="1:3" x14ac:dyDescent="0.3">
      <c r="A2313" s="98" t="s">
        <v>165</v>
      </c>
      <c r="B2313" s="98">
        <v>2012</v>
      </c>
      <c r="C2313" s="98">
        <v>1507.5</v>
      </c>
    </row>
    <row r="2314" spans="1:3" x14ac:dyDescent="0.3">
      <c r="A2314" s="98" t="s">
        <v>165</v>
      </c>
      <c r="B2314" s="98">
        <v>2013</v>
      </c>
      <c r="C2314" s="98">
        <v>1507.5</v>
      </c>
    </row>
    <row r="2315" spans="1:3" x14ac:dyDescent="0.3">
      <c r="A2315" s="98" t="s">
        <v>165</v>
      </c>
      <c r="B2315" s="98">
        <v>2014</v>
      </c>
      <c r="C2315" s="98">
        <v>1507.5</v>
      </c>
    </row>
    <row r="2316" spans="1:3" x14ac:dyDescent="0.3">
      <c r="A2316" s="98" t="s">
        <v>165</v>
      </c>
      <c r="B2316" s="98">
        <v>2015</v>
      </c>
      <c r="C2316" s="98">
        <v>1507.5</v>
      </c>
    </row>
    <row r="2317" spans="1:3" x14ac:dyDescent="0.3">
      <c r="A2317" s="98" t="s">
        <v>165</v>
      </c>
      <c r="B2317" s="98">
        <v>2016</v>
      </c>
      <c r="C2317" s="98">
        <v>1507.5</v>
      </c>
    </row>
    <row r="2318" spans="1:3" x14ac:dyDescent="0.3">
      <c r="A2318" s="98" t="s">
        <v>165</v>
      </c>
      <c r="B2318" s="98">
        <v>2017</v>
      </c>
      <c r="C2318" s="98">
        <v>1507.5</v>
      </c>
    </row>
    <row r="2319" spans="1:3" x14ac:dyDescent="0.3">
      <c r="A2319" s="98" t="s">
        <v>165</v>
      </c>
      <c r="B2319" s="98">
        <v>2018</v>
      </c>
      <c r="C2319" s="98">
        <v>1507.5</v>
      </c>
    </row>
    <row r="2320" spans="1:3" x14ac:dyDescent="0.3">
      <c r="A2320" s="98" t="s">
        <v>165</v>
      </c>
      <c r="B2320" s="98">
        <v>2019</v>
      </c>
      <c r="C2320" s="98">
        <v>1507.5</v>
      </c>
    </row>
    <row r="2321" spans="1:3" x14ac:dyDescent="0.3">
      <c r="A2321" s="98" t="s">
        <v>165</v>
      </c>
      <c r="B2321" s="98">
        <v>2020</v>
      </c>
      <c r="C2321" s="98">
        <v>1507.5</v>
      </c>
    </row>
    <row r="2322" spans="1:3" x14ac:dyDescent="0.3">
      <c r="A2322" s="98" t="s">
        <v>165</v>
      </c>
      <c r="B2322" s="98">
        <v>2021</v>
      </c>
      <c r="C2322" s="98">
        <v>1507.5</v>
      </c>
    </row>
    <row r="2323" spans="1:3" x14ac:dyDescent="0.3">
      <c r="A2323" s="98" t="s">
        <v>165</v>
      </c>
      <c r="B2323" s="98">
        <v>2022</v>
      </c>
      <c r="C2323" s="98">
        <v>1507.5</v>
      </c>
    </row>
    <row r="2324" spans="1:3" x14ac:dyDescent="0.3">
      <c r="A2324" s="98" t="s">
        <v>166</v>
      </c>
      <c r="B2324" s="98">
        <v>2001</v>
      </c>
      <c r="C2324" s="98">
        <v>12.1265</v>
      </c>
    </row>
    <row r="2325" spans="1:3" x14ac:dyDescent="0.3">
      <c r="A2325" s="98" t="s">
        <v>166</v>
      </c>
      <c r="B2325" s="98">
        <v>2002</v>
      </c>
      <c r="C2325" s="98">
        <v>8.64</v>
      </c>
    </row>
    <row r="2326" spans="1:3" x14ac:dyDescent="0.3">
      <c r="A2326" s="98" t="s">
        <v>166</v>
      </c>
      <c r="B2326" s="98">
        <v>2003</v>
      </c>
      <c r="C2326" s="98">
        <v>6.64</v>
      </c>
    </row>
    <row r="2327" spans="1:3" x14ac:dyDescent="0.3">
      <c r="A2327" s="98" t="s">
        <v>166</v>
      </c>
      <c r="B2327" s="98">
        <v>2004</v>
      </c>
      <c r="C2327" s="98">
        <v>5.63</v>
      </c>
    </row>
    <row r="2328" spans="1:3" x14ac:dyDescent="0.3">
      <c r="A2328" s="98" t="s">
        <v>166</v>
      </c>
      <c r="B2328" s="98">
        <v>2005</v>
      </c>
      <c r="C2328" s="98">
        <v>6.3250000000000002</v>
      </c>
    </row>
    <row r="2329" spans="1:3" x14ac:dyDescent="0.3">
      <c r="A2329" s="98" t="s">
        <v>166</v>
      </c>
      <c r="B2329" s="98">
        <v>2006</v>
      </c>
      <c r="C2329" s="98">
        <v>6.97</v>
      </c>
    </row>
    <row r="2330" spans="1:3" x14ac:dyDescent="0.3">
      <c r="A2330" s="98" t="s">
        <v>166</v>
      </c>
      <c r="B2330" s="98">
        <v>2007</v>
      </c>
      <c r="C2330" s="98">
        <v>6.81</v>
      </c>
    </row>
    <row r="2331" spans="1:3" x14ac:dyDescent="0.3">
      <c r="A2331" s="98" t="s">
        <v>166</v>
      </c>
      <c r="B2331" s="98">
        <v>2008</v>
      </c>
      <c r="C2331" s="98">
        <v>9.3049999999999997</v>
      </c>
    </row>
    <row r="2332" spans="1:3" x14ac:dyDescent="0.3">
      <c r="A2332" s="98" t="s">
        <v>166</v>
      </c>
      <c r="B2332" s="98">
        <v>2009</v>
      </c>
      <c r="C2332" s="98">
        <v>7.38</v>
      </c>
    </row>
    <row r="2333" spans="1:3" x14ac:dyDescent="0.3">
      <c r="A2333" s="98" t="s">
        <v>166</v>
      </c>
      <c r="B2333" s="98">
        <v>2010</v>
      </c>
      <c r="C2333" s="98">
        <v>6.6315999999999997</v>
      </c>
    </row>
    <row r="2334" spans="1:3" x14ac:dyDescent="0.3">
      <c r="A2334" s="98" t="s">
        <v>166</v>
      </c>
      <c r="B2334" s="98">
        <v>2011</v>
      </c>
      <c r="C2334" s="98">
        <v>8.1428999999999991</v>
      </c>
    </row>
    <row r="2335" spans="1:3" x14ac:dyDescent="0.3">
      <c r="A2335" s="98" t="s">
        <v>166</v>
      </c>
      <c r="B2335" s="98">
        <v>2012</v>
      </c>
      <c r="C2335" s="98">
        <v>8.5011500000000009</v>
      </c>
    </row>
    <row r="2336" spans="1:3" x14ac:dyDescent="0.3">
      <c r="A2336" s="98" t="s">
        <v>166</v>
      </c>
      <c r="B2336" s="98">
        <v>2013</v>
      </c>
      <c r="C2336" s="98">
        <v>10.489850000000001</v>
      </c>
    </row>
    <row r="2337" spans="1:3" x14ac:dyDescent="0.3">
      <c r="A2337" s="98" t="s">
        <v>166</v>
      </c>
      <c r="B2337" s="98">
        <v>2014</v>
      </c>
      <c r="C2337" s="98">
        <v>11.58095</v>
      </c>
    </row>
    <row r="2338" spans="1:3" x14ac:dyDescent="0.3">
      <c r="A2338" s="98" t="s">
        <v>166</v>
      </c>
      <c r="B2338" s="98">
        <v>2015</v>
      </c>
      <c r="C2338" s="98">
        <v>15.545</v>
      </c>
    </row>
    <row r="2339" spans="1:3" x14ac:dyDescent="0.3">
      <c r="A2339" s="98" t="s">
        <v>166</v>
      </c>
      <c r="B2339" s="98">
        <v>2016</v>
      </c>
      <c r="C2339" s="98">
        <v>13.68445</v>
      </c>
    </row>
    <row r="2340" spans="1:3" x14ac:dyDescent="0.3">
      <c r="A2340" s="98" t="s">
        <v>166</v>
      </c>
      <c r="B2340" s="98">
        <v>2017</v>
      </c>
      <c r="C2340" s="98">
        <v>12.315270999999999</v>
      </c>
    </row>
    <row r="2341" spans="1:3" x14ac:dyDescent="0.3">
      <c r="A2341" s="98" t="s">
        <v>166</v>
      </c>
      <c r="B2341" s="98">
        <v>2018</v>
      </c>
      <c r="C2341" s="98">
        <v>14.376657</v>
      </c>
    </row>
    <row r="2342" spans="1:3" x14ac:dyDescent="0.3">
      <c r="A2342" s="98" t="s">
        <v>166</v>
      </c>
      <c r="B2342" s="98">
        <v>2019</v>
      </c>
      <c r="C2342" s="98">
        <v>14.025541</v>
      </c>
    </row>
    <row r="2343" spans="1:3" x14ac:dyDescent="0.3">
      <c r="A2343" s="98" t="s">
        <v>166</v>
      </c>
      <c r="B2343" s="98">
        <v>2020</v>
      </c>
      <c r="C2343" s="98">
        <v>14.685948</v>
      </c>
    </row>
    <row r="2344" spans="1:3" x14ac:dyDescent="0.3">
      <c r="A2344" s="98" t="s">
        <v>166</v>
      </c>
      <c r="B2344" s="98">
        <v>2021</v>
      </c>
      <c r="C2344" s="98">
        <v>15.905407</v>
      </c>
    </row>
    <row r="2345" spans="1:3" x14ac:dyDescent="0.3">
      <c r="A2345" s="98" t="s">
        <v>166</v>
      </c>
      <c r="B2345" s="98">
        <v>2022</v>
      </c>
      <c r="C2345" s="98">
        <v>16.993537</v>
      </c>
    </row>
    <row r="2346" spans="1:3" x14ac:dyDescent="0.3">
      <c r="A2346" s="98" t="s">
        <v>167</v>
      </c>
      <c r="B2346" s="98">
        <v>2001</v>
      </c>
      <c r="C2346" s="98">
        <v>49.5</v>
      </c>
    </row>
    <row r="2347" spans="1:3" x14ac:dyDescent="0.3">
      <c r="A2347" s="98" t="s">
        <v>167</v>
      </c>
      <c r="B2347" s="98">
        <v>2002</v>
      </c>
      <c r="C2347" s="98">
        <v>65</v>
      </c>
    </row>
    <row r="2348" spans="1:3" x14ac:dyDescent="0.3">
      <c r="A2348" s="98" t="s">
        <v>167</v>
      </c>
      <c r="B2348" s="98">
        <v>2003</v>
      </c>
      <c r="C2348" s="98">
        <v>50.5</v>
      </c>
    </row>
    <row r="2349" spans="1:3" x14ac:dyDescent="0.3">
      <c r="A2349" s="98" t="s">
        <v>167</v>
      </c>
      <c r="B2349" s="98">
        <v>2004</v>
      </c>
      <c r="C2349" s="98">
        <v>54.5</v>
      </c>
    </row>
    <row r="2350" spans="1:3" x14ac:dyDescent="0.3">
      <c r="A2350" s="98" t="s">
        <v>167</v>
      </c>
      <c r="B2350" s="98">
        <v>2005</v>
      </c>
      <c r="C2350" s="98">
        <v>56.5</v>
      </c>
    </row>
    <row r="2351" spans="1:3" x14ac:dyDescent="0.3">
      <c r="A2351" s="98" t="s">
        <v>167</v>
      </c>
      <c r="B2351" s="98">
        <v>2006</v>
      </c>
      <c r="C2351" s="98">
        <v>59.5</v>
      </c>
    </row>
    <row r="2352" spans="1:3" x14ac:dyDescent="0.3">
      <c r="A2352" s="98" t="s">
        <v>167</v>
      </c>
      <c r="B2352" s="98">
        <v>2007</v>
      </c>
      <c r="C2352" s="98">
        <v>62.5</v>
      </c>
    </row>
    <row r="2353" spans="1:3" x14ac:dyDescent="0.3">
      <c r="A2353" s="98" t="s">
        <v>167</v>
      </c>
      <c r="B2353" s="98">
        <v>2008</v>
      </c>
      <c r="C2353" s="98">
        <v>64</v>
      </c>
    </row>
    <row r="2354" spans="1:3" x14ac:dyDescent="0.3">
      <c r="A2354" s="98" t="s">
        <v>167</v>
      </c>
      <c r="B2354" s="98">
        <v>2009</v>
      </c>
      <c r="C2354" s="98">
        <v>70.5</v>
      </c>
    </row>
    <row r="2355" spans="1:3" x14ac:dyDescent="0.3">
      <c r="A2355" s="98" t="s">
        <v>167</v>
      </c>
      <c r="B2355" s="98">
        <v>2010</v>
      </c>
      <c r="C2355" s="98">
        <v>71.5</v>
      </c>
    </row>
    <row r="2356" spans="1:3" x14ac:dyDescent="0.3">
      <c r="A2356" s="98" t="s">
        <v>167</v>
      </c>
      <c r="B2356" s="98">
        <v>2011</v>
      </c>
      <c r="C2356" s="98">
        <v>72.5</v>
      </c>
    </row>
    <row r="2357" spans="1:3" x14ac:dyDescent="0.3">
      <c r="A2357" s="98" t="s">
        <v>167</v>
      </c>
      <c r="B2357" s="98">
        <v>2012</v>
      </c>
      <c r="C2357" s="98">
        <v>72.5</v>
      </c>
    </row>
    <row r="2358" spans="1:3" x14ac:dyDescent="0.3">
      <c r="A2358" s="98" t="s">
        <v>167</v>
      </c>
      <c r="B2358" s="98">
        <v>2013</v>
      </c>
      <c r="C2358" s="98">
        <v>82.5</v>
      </c>
    </row>
    <row r="2359" spans="1:3" x14ac:dyDescent="0.3">
      <c r="A2359" s="98" t="s">
        <v>167</v>
      </c>
      <c r="B2359" s="98">
        <v>2014</v>
      </c>
      <c r="C2359" s="98">
        <v>82.5</v>
      </c>
    </row>
    <row r="2360" spans="1:3" x14ac:dyDescent="0.3">
      <c r="A2360" s="98" t="s">
        <v>167</v>
      </c>
      <c r="B2360" s="98">
        <v>2015</v>
      </c>
      <c r="C2360" s="98">
        <v>88.5</v>
      </c>
    </row>
    <row r="2361" spans="1:3" x14ac:dyDescent="0.3">
      <c r="A2361" s="98" t="s">
        <v>167</v>
      </c>
      <c r="B2361" s="98">
        <v>2016</v>
      </c>
      <c r="C2361" s="98">
        <v>102.5</v>
      </c>
    </row>
    <row r="2362" spans="1:3" x14ac:dyDescent="0.3">
      <c r="A2362" s="98" t="s">
        <v>167</v>
      </c>
      <c r="B2362" s="98">
        <v>2017</v>
      </c>
      <c r="C2362" s="98">
        <v>125.45</v>
      </c>
    </row>
    <row r="2363" spans="1:3" x14ac:dyDescent="0.3">
      <c r="A2363" s="98" t="s">
        <v>167</v>
      </c>
      <c r="B2363" s="98">
        <v>2018</v>
      </c>
      <c r="C2363" s="98">
        <v>157.5564</v>
      </c>
    </row>
    <row r="2364" spans="1:3" x14ac:dyDescent="0.3">
      <c r="A2364" s="98" t="s">
        <v>167</v>
      </c>
      <c r="B2364" s="98">
        <v>2019</v>
      </c>
      <c r="C2364" s="98">
        <v>187.92679999999999</v>
      </c>
    </row>
    <row r="2365" spans="1:3" x14ac:dyDescent="0.3">
      <c r="A2365" s="98" t="s">
        <v>167</v>
      </c>
      <c r="B2365" s="98">
        <v>2020</v>
      </c>
      <c r="C2365" s="98">
        <v>164.22</v>
      </c>
    </row>
    <row r="2366" spans="1:3" x14ac:dyDescent="0.3">
      <c r="A2366" s="98" t="s">
        <v>167</v>
      </c>
      <c r="B2366" s="98">
        <v>2021</v>
      </c>
    </row>
    <row r="2367" spans="1:3" x14ac:dyDescent="0.3">
      <c r="A2367" s="98" t="s">
        <v>167</v>
      </c>
      <c r="B2367" s="98">
        <v>2022</v>
      </c>
    </row>
    <row r="2368" spans="1:3" x14ac:dyDescent="0.3">
      <c r="A2368" s="98" t="s">
        <v>168</v>
      </c>
      <c r="B2368" s="98">
        <v>2001</v>
      </c>
      <c r="C2368" s="98">
        <v>0.65009766999999996</v>
      </c>
    </row>
    <row r="2369" spans="1:3" x14ac:dyDescent="0.3">
      <c r="A2369" s="98" t="s">
        <v>168</v>
      </c>
      <c r="B2369" s="98">
        <v>2002</v>
      </c>
      <c r="C2369" s="98">
        <v>1.2097856</v>
      </c>
    </row>
    <row r="2370" spans="1:3" x14ac:dyDescent="0.3">
      <c r="A2370" s="98" t="s">
        <v>168</v>
      </c>
      <c r="B2370" s="98">
        <v>2003</v>
      </c>
      <c r="C2370" s="98">
        <v>1.3004058000000001</v>
      </c>
    </row>
    <row r="2371" spans="1:3" x14ac:dyDescent="0.3">
      <c r="A2371" s="98" t="s">
        <v>168</v>
      </c>
      <c r="B2371" s="98">
        <v>2004</v>
      </c>
      <c r="C2371" s="98">
        <v>1.2442705000000001</v>
      </c>
    </row>
    <row r="2372" spans="1:3" x14ac:dyDescent="0.3">
      <c r="A2372" s="98" t="s">
        <v>168</v>
      </c>
      <c r="B2372" s="98">
        <v>2005</v>
      </c>
      <c r="C2372" s="98">
        <v>1.3520000000000001</v>
      </c>
    </row>
    <row r="2373" spans="1:3" x14ac:dyDescent="0.3">
      <c r="A2373" s="98" t="s">
        <v>168</v>
      </c>
      <c r="B2373" s="98">
        <v>2006</v>
      </c>
      <c r="C2373" s="98">
        <v>1.2844831000000001</v>
      </c>
    </row>
    <row r="2374" spans="1:3" x14ac:dyDescent="0.3">
      <c r="A2374" s="98" t="s">
        <v>168</v>
      </c>
      <c r="B2374" s="98">
        <v>2007</v>
      </c>
      <c r="C2374" s="98">
        <v>1.2228212000000001</v>
      </c>
    </row>
    <row r="2375" spans="1:3" x14ac:dyDescent="0.3">
      <c r="A2375" s="98" t="s">
        <v>168</v>
      </c>
      <c r="B2375" s="98">
        <v>2008</v>
      </c>
      <c r="C2375" s="98">
        <v>1.25457</v>
      </c>
    </row>
    <row r="2376" spans="1:3" x14ac:dyDescent="0.3">
      <c r="A2376" s="98" t="s">
        <v>168</v>
      </c>
      <c r="B2376" s="98">
        <v>2009</v>
      </c>
      <c r="C2376" s="98">
        <v>1.2326206</v>
      </c>
    </row>
    <row r="2377" spans="1:3" x14ac:dyDescent="0.3">
      <c r="A2377" s="98" t="s">
        <v>168</v>
      </c>
      <c r="B2377" s="98">
        <v>2010</v>
      </c>
      <c r="C2377" s="98">
        <v>1.2547592999999999</v>
      </c>
    </row>
    <row r="2378" spans="1:3" x14ac:dyDescent="0.3">
      <c r="A2378" s="98" t="s">
        <v>168</v>
      </c>
      <c r="B2378" s="98">
        <v>2011</v>
      </c>
      <c r="C2378" s="98">
        <v>1.2586710999999999</v>
      </c>
    </row>
    <row r="2379" spans="1:3" x14ac:dyDescent="0.3">
      <c r="A2379" s="98" t="s">
        <v>168</v>
      </c>
      <c r="B2379" s="98">
        <v>2012</v>
      </c>
      <c r="C2379" s="98">
        <v>1.2573198000000001</v>
      </c>
    </row>
    <row r="2380" spans="1:3" x14ac:dyDescent="0.3">
      <c r="A2380" s="98" t="s">
        <v>168</v>
      </c>
      <c r="B2380" s="98">
        <v>2013</v>
      </c>
      <c r="C2380" s="98">
        <v>1.2548052000000001</v>
      </c>
    </row>
    <row r="2381" spans="1:3" x14ac:dyDescent="0.3">
      <c r="A2381" s="98" t="s">
        <v>168</v>
      </c>
      <c r="B2381" s="98">
        <v>2014</v>
      </c>
      <c r="C2381" s="98">
        <v>1.3337843</v>
      </c>
    </row>
    <row r="2382" spans="1:3" x14ac:dyDescent="0.3">
      <c r="A2382" s="98" t="s">
        <v>168</v>
      </c>
      <c r="B2382" s="98">
        <v>2015</v>
      </c>
      <c r="C2382" s="98">
        <v>1.3944996999999999</v>
      </c>
    </row>
    <row r="2383" spans="1:3" x14ac:dyDescent="0.3">
      <c r="A2383" s="98" t="s">
        <v>168</v>
      </c>
      <c r="B2383" s="98">
        <v>2016</v>
      </c>
      <c r="C2383" s="98">
        <v>1.4374446999999999</v>
      </c>
    </row>
    <row r="2384" spans="1:3" x14ac:dyDescent="0.3">
      <c r="A2384" s="98" t="s">
        <v>168</v>
      </c>
      <c r="B2384" s="98">
        <v>2017</v>
      </c>
      <c r="C2384" s="98">
        <v>1.3561160999999999</v>
      </c>
    </row>
    <row r="2385" spans="1:3" x14ac:dyDescent="0.3">
      <c r="A2385" s="98" t="s">
        <v>168</v>
      </c>
      <c r="B2385" s="98">
        <v>2018</v>
      </c>
      <c r="C2385" s="98">
        <v>1.391014</v>
      </c>
    </row>
    <row r="2386" spans="1:3" x14ac:dyDescent="0.3">
      <c r="A2386" s="98" t="s">
        <v>168</v>
      </c>
      <c r="B2386" s="98">
        <v>2019</v>
      </c>
      <c r="C2386" s="98">
        <v>1.3963000000000001</v>
      </c>
    </row>
    <row r="2387" spans="1:3" x14ac:dyDescent="0.3">
      <c r="A2387" s="98" t="s">
        <v>168</v>
      </c>
      <c r="B2387" s="98">
        <v>2020</v>
      </c>
      <c r="C2387" s="98">
        <v>1.3366</v>
      </c>
    </row>
    <row r="2388" spans="1:3" x14ac:dyDescent="0.3">
      <c r="A2388" s="98" t="s">
        <v>168</v>
      </c>
      <c r="B2388" s="98">
        <v>2021</v>
      </c>
      <c r="C2388" s="98">
        <v>4.5960999999999999</v>
      </c>
    </row>
    <row r="2389" spans="1:3" x14ac:dyDescent="0.3">
      <c r="A2389" s="98" t="s">
        <v>168</v>
      </c>
      <c r="B2389" s="98">
        <v>2022</v>
      </c>
      <c r="C2389" s="98">
        <v>4.8288000000000002</v>
      </c>
    </row>
    <row r="2390" spans="1:3" x14ac:dyDescent="0.3">
      <c r="A2390" s="98" t="s">
        <v>169</v>
      </c>
      <c r="B2390" s="98">
        <v>2001</v>
      </c>
      <c r="C2390" s="98">
        <v>4</v>
      </c>
    </row>
    <row r="2391" spans="1:3" x14ac:dyDescent="0.3">
      <c r="A2391" s="98" t="s">
        <v>169</v>
      </c>
      <c r="B2391" s="98">
        <v>2002</v>
      </c>
      <c r="C2391" s="98">
        <v>3.3113999999999999</v>
      </c>
    </row>
    <row r="2392" spans="1:3" x14ac:dyDescent="0.3">
      <c r="A2392" s="98" t="s">
        <v>169</v>
      </c>
      <c r="B2392" s="98">
        <v>2003</v>
      </c>
      <c r="C2392" s="98">
        <v>2.7621000000000002</v>
      </c>
    </row>
    <row r="2393" spans="1:3" x14ac:dyDescent="0.3">
      <c r="A2393" s="98" t="s">
        <v>169</v>
      </c>
      <c r="B2393" s="98">
        <v>2004</v>
      </c>
      <c r="C2393" s="98">
        <v>2.5345</v>
      </c>
    </row>
    <row r="2394" spans="1:3" x14ac:dyDescent="0.3">
      <c r="A2394" s="98" t="s">
        <v>169</v>
      </c>
      <c r="B2394" s="98">
        <v>2005</v>
      </c>
      <c r="C2394" s="98">
        <v>2.9102000000000001</v>
      </c>
    </row>
    <row r="2395" spans="1:3" x14ac:dyDescent="0.3">
      <c r="A2395" s="98" t="s">
        <v>169</v>
      </c>
      <c r="B2395" s="98">
        <v>2006</v>
      </c>
      <c r="C2395" s="98">
        <v>2.6303999999999998</v>
      </c>
    </row>
    <row r="2396" spans="1:3" x14ac:dyDescent="0.3">
      <c r="A2396" s="98" t="s">
        <v>169</v>
      </c>
      <c r="B2396" s="98">
        <v>2007</v>
      </c>
      <c r="C2396" s="98">
        <v>2.3572000000000002</v>
      </c>
    </row>
    <row r="2397" spans="1:3" x14ac:dyDescent="0.3">
      <c r="A2397" s="98" t="s">
        <v>169</v>
      </c>
      <c r="B2397" s="98">
        <v>2008</v>
      </c>
      <c r="C2397" s="98">
        <v>2.4506999999999999</v>
      </c>
    </row>
    <row r="2398" spans="1:3" x14ac:dyDescent="0.3">
      <c r="A2398" s="98" t="s">
        <v>169</v>
      </c>
      <c r="B2398" s="98">
        <v>2009</v>
      </c>
      <c r="C2398" s="98">
        <v>2.4051999999999998</v>
      </c>
    </row>
    <row r="2399" spans="1:3" x14ac:dyDescent="0.3">
      <c r="A2399" s="98" t="s">
        <v>169</v>
      </c>
      <c r="B2399" s="98">
        <v>2010</v>
      </c>
      <c r="C2399" s="98">
        <v>2.6099000000000001</v>
      </c>
    </row>
    <row r="2400" spans="1:3" x14ac:dyDescent="0.3">
      <c r="A2400" s="98" t="s">
        <v>169</v>
      </c>
      <c r="B2400" s="98">
        <v>2011</v>
      </c>
      <c r="C2400" s="98">
        <v>2.6694</v>
      </c>
    </row>
    <row r="2401" spans="1:3" x14ac:dyDescent="0.3">
      <c r="A2401" s="98" t="s">
        <v>169</v>
      </c>
      <c r="B2401" s="98">
        <v>2012</v>
      </c>
      <c r="C2401" s="98">
        <v>2.6059999999999999</v>
      </c>
    </row>
    <row r="2402" spans="1:3" x14ac:dyDescent="0.3">
      <c r="A2402" s="98" t="s">
        <v>169</v>
      </c>
      <c r="B2402" s="98">
        <v>2013</v>
      </c>
      <c r="C2402" s="98">
        <v>2.5097999999999998</v>
      </c>
    </row>
    <row r="2403" spans="1:3" x14ac:dyDescent="0.3">
      <c r="A2403" s="98" t="s">
        <v>169</v>
      </c>
      <c r="B2403" s="98">
        <v>2014</v>
      </c>
      <c r="C2403" s="98">
        <v>2.8386999999999998</v>
      </c>
    </row>
    <row r="2404" spans="1:3" x14ac:dyDescent="0.3">
      <c r="A2404" s="98" t="s">
        <v>169</v>
      </c>
      <c r="B2404" s="98">
        <v>2015</v>
      </c>
    </row>
    <row r="2405" spans="1:3" x14ac:dyDescent="0.3">
      <c r="A2405" s="98" t="s">
        <v>169</v>
      </c>
      <c r="B2405" s="98">
        <v>2016</v>
      </c>
    </row>
    <row r="2406" spans="1:3" x14ac:dyDescent="0.3">
      <c r="A2406" s="98" t="s">
        <v>169</v>
      </c>
      <c r="B2406" s="98">
        <v>2017</v>
      </c>
    </row>
    <row r="2407" spans="1:3" x14ac:dyDescent="0.3">
      <c r="A2407" s="98" t="s">
        <v>169</v>
      </c>
      <c r="B2407" s="98">
        <v>2018</v>
      </c>
    </row>
    <row r="2408" spans="1:3" x14ac:dyDescent="0.3">
      <c r="A2408" s="98" t="s">
        <v>169</v>
      </c>
      <c r="B2408" s="98">
        <v>2019</v>
      </c>
    </row>
    <row r="2409" spans="1:3" x14ac:dyDescent="0.3">
      <c r="A2409" s="98" t="s">
        <v>169</v>
      </c>
      <c r="B2409" s="98">
        <v>2020</v>
      </c>
    </row>
    <row r="2410" spans="1:3" x14ac:dyDescent="0.3">
      <c r="A2410" s="98" t="s">
        <v>169</v>
      </c>
      <c r="B2410" s="98">
        <v>2021</v>
      </c>
    </row>
    <row r="2411" spans="1:3" x14ac:dyDescent="0.3">
      <c r="A2411" s="98" t="s">
        <v>169</v>
      </c>
      <c r="B2411" s="98">
        <v>2022</v>
      </c>
    </row>
    <row r="2412" spans="1:3" x14ac:dyDescent="0.3">
      <c r="A2412" s="98" t="s">
        <v>170</v>
      </c>
      <c r="B2412" s="98">
        <v>2001</v>
      </c>
      <c r="C2412" s="98">
        <v>1326.2380000000001</v>
      </c>
    </row>
    <row r="2413" spans="1:3" x14ac:dyDescent="0.3">
      <c r="A2413" s="98" t="s">
        <v>170</v>
      </c>
      <c r="B2413" s="98">
        <v>2002</v>
      </c>
      <c r="C2413" s="98">
        <v>1286.954</v>
      </c>
    </row>
    <row r="2414" spans="1:3" x14ac:dyDescent="0.3">
      <c r="A2414" s="98" t="s">
        <v>170</v>
      </c>
      <c r="B2414" s="98">
        <v>2003</v>
      </c>
      <c r="C2414" s="98">
        <v>1219.6179999999999</v>
      </c>
    </row>
    <row r="2415" spans="1:3" x14ac:dyDescent="0.3">
      <c r="A2415" s="98" t="s">
        <v>170</v>
      </c>
      <c r="B2415" s="98">
        <v>2004</v>
      </c>
      <c r="C2415" s="98">
        <v>1869.4</v>
      </c>
    </row>
    <row r="2416" spans="1:3" x14ac:dyDescent="0.3">
      <c r="A2416" s="98" t="s">
        <v>170</v>
      </c>
      <c r="B2416" s="98">
        <v>2005</v>
      </c>
      <c r="C2416" s="98">
        <v>2159.8200000000002</v>
      </c>
    </row>
    <row r="2417" spans="1:3" x14ac:dyDescent="0.3">
      <c r="A2417" s="98" t="s">
        <v>170</v>
      </c>
      <c r="B2417" s="98">
        <v>2006</v>
      </c>
      <c r="C2417" s="98">
        <v>2013.95</v>
      </c>
    </row>
    <row r="2418" spans="1:3" x14ac:dyDescent="0.3">
      <c r="A2418" s="98" t="s">
        <v>170</v>
      </c>
      <c r="B2418" s="98">
        <v>2007</v>
      </c>
      <c r="C2418" s="98">
        <v>1786.69</v>
      </c>
    </row>
    <row r="2419" spans="1:3" x14ac:dyDescent="0.3">
      <c r="A2419" s="98" t="s">
        <v>170</v>
      </c>
      <c r="B2419" s="98">
        <v>2008</v>
      </c>
      <c r="C2419" s="98">
        <v>1860.36</v>
      </c>
    </row>
    <row r="2420" spans="1:3" x14ac:dyDescent="0.3">
      <c r="A2420" s="98" t="s">
        <v>170</v>
      </c>
      <c r="B2420" s="98">
        <v>2009</v>
      </c>
      <c r="C2420" s="98">
        <v>1954.64</v>
      </c>
    </row>
    <row r="2421" spans="1:3" x14ac:dyDescent="0.3">
      <c r="A2421" s="98" t="s">
        <v>170</v>
      </c>
      <c r="B2421" s="98">
        <v>2010</v>
      </c>
      <c r="C2421" s="98">
        <v>2146.12</v>
      </c>
    </row>
    <row r="2422" spans="1:3" x14ac:dyDescent="0.3">
      <c r="A2422" s="98" t="s">
        <v>170</v>
      </c>
      <c r="B2422" s="98">
        <v>2011</v>
      </c>
      <c r="C2422" s="98">
        <v>2247.48</v>
      </c>
    </row>
    <row r="2423" spans="1:3" x14ac:dyDescent="0.3">
      <c r="A2423" s="98" t="s">
        <v>170</v>
      </c>
      <c r="B2423" s="98">
        <v>2012</v>
      </c>
      <c r="C2423" s="98">
        <v>2270.56</v>
      </c>
    </row>
    <row r="2424" spans="1:3" x14ac:dyDescent="0.3">
      <c r="A2424" s="98" t="s">
        <v>170</v>
      </c>
      <c r="B2424" s="98">
        <v>2013</v>
      </c>
      <c r="C2424" s="98">
        <v>2236.09</v>
      </c>
    </row>
    <row r="2425" spans="1:3" x14ac:dyDescent="0.3">
      <c r="A2425" s="98" t="s">
        <v>170</v>
      </c>
      <c r="B2425" s="98">
        <v>2014</v>
      </c>
      <c r="C2425" s="98">
        <v>2596.73</v>
      </c>
    </row>
    <row r="2426" spans="1:3" x14ac:dyDescent="0.3">
      <c r="A2426" s="98" t="s">
        <v>170</v>
      </c>
      <c r="B2426" s="98">
        <v>2015</v>
      </c>
      <c r="C2426" s="98">
        <v>3199.21</v>
      </c>
    </row>
    <row r="2427" spans="1:3" x14ac:dyDescent="0.3">
      <c r="A2427" s="98" t="s">
        <v>170</v>
      </c>
      <c r="B2427" s="98">
        <v>2016</v>
      </c>
      <c r="C2427" s="98">
        <v>3347.94</v>
      </c>
    </row>
    <row r="2428" spans="1:3" x14ac:dyDescent="0.3">
      <c r="A2428" s="98" t="s">
        <v>170</v>
      </c>
      <c r="B2428" s="98">
        <v>2017</v>
      </c>
      <c r="C2428" s="98">
        <v>3230.19</v>
      </c>
    </row>
    <row r="2429" spans="1:3" x14ac:dyDescent="0.3">
      <c r="A2429" s="98" t="s">
        <v>170</v>
      </c>
      <c r="B2429" s="98">
        <v>2018</v>
      </c>
      <c r="C2429" s="98">
        <v>3470.24</v>
      </c>
    </row>
    <row r="2430" spans="1:3" x14ac:dyDescent="0.3">
      <c r="A2430" s="98" t="s">
        <v>170</v>
      </c>
      <c r="B2430" s="98">
        <v>2019</v>
      </c>
      <c r="C2430" s="98">
        <v>3627.27</v>
      </c>
    </row>
    <row r="2431" spans="1:3" x14ac:dyDescent="0.3">
      <c r="A2431" s="98" t="s">
        <v>170</v>
      </c>
      <c r="B2431" s="98">
        <v>2020</v>
      </c>
      <c r="C2431" s="98">
        <v>3824.84</v>
      </c>
    </row>
    <row r="2432" spans="1:3" x14ac:dyDescent="0.3">
      <c r="A2432" s="98" t="s">
        <v>170</v>
      </c>
      <c r="B2432" s="98">
        <v>2021</v>
      </c>
      <c r="C2432" s="98">
        <v>3956.66</v>
      </c>
    </row>
    <row r="2433" spans="1:3" x14ac:dyDescent="0.3">
      <c r="A2433" s="98" t="s">
        <v>170</v>
      </c>
      <c r="B2433" s="98">
        <v>2022</v>
      </c>
      <c r="C2433" s="98">
        <v>4461.9799999999996</v>
      </c>
    </row>
    <row r="2434" spans="1:3" x14ac:dyDescent="0.3">
      <c r="A2434" s="98" t="s">
        <v>171</v>
      </c>
      <c r="B2434" s="98">
        <v>2001</v>
      </c>
      <c r="C2434" s="98">
        <v>67.2941</v>
      </c>
    </row>
    <row r="2435" spans="1:3" x14ac:dyDescent="0.3">
      <c r="A2435" s="98" t="s">
        <v>171</v>
      </c>
      <c r="B2435" s="98">
        <v>2002</v>
      </c>
      <c r="C2435" s="98">
        <v>87.138499999999993</v>
      </c>
    </row>
    <row r="2436" spans="1:3" x14ac:dyDescent="0.3">
      <c r="A2436" s="98" t="s">
        <v>171</v>
      </c>
      <c r="B2436" s="98">
        <v>2003</v>
      </c>
      <c r="C2436" s="98">
        <v>108.566</v>
      </c>
    </row>
    <row r="2437" spans="1:3" x14ac:dyDescent="0.3">
      <c r="A2437" s="98" t="s">
        <v>171</v>
      </c>
      <c r="B2437" s="98">
        <v>2004</v>
      </c>
      <c r="C2437" s="98">
        <v>108.9432</v>
      </c>
    </row>
    <row r="2438" spans="1:3" x14ac:dyDescent="0.3">
      <c r="A2438" s="98" t="s">
        <v>171</v>
      </c>
      <c r="B2438" s="98">
        <v>2005</v>
      </c>
      <c r="C2438" s="98">
        <v>123.78</v>
      </c>
    </row>
    <row r="2439" spans="1:3" x14ac:dyDescent="0.3">
      <c r="A2439" s="98" t="s">
        <v>171</v>
      </c>
      <c r="B2439" s="98">
        <v>2006</v>
      </c>
      <c r="C2439" s="98">
        <v>139.34</v>
      </c>
    </row>
    <row r="2440" spans="1:3" x14ac:dyDescent="0.3">
      <c r="A2440" s="98" t="s">
        <v>171</v>
      </c>
      <c r="B2440" s="98">
        <v>2007</v>
      </c>
      <c r="C2440" s="98">
        <v>140.32</v>
      </c>
    </row>
    <row r="2441" spans="1:3" x14ac:dyDescent="0.3">
      <c r="A2441" s="98" t="s">
        <v>171</v>
      </c>
      <c r="B2441" s="98">
        <v>2008</v>
      </c>
      <c r="C2441" s="98">
        <v>140.6</v>
      </c>
    </row>
    <row r="2442" spans="1:3" x14ac:dyDescent="0.3">
      <c r="A2442" s="98" t="s">
        <v>171</v>
      </c>
      <c r="B2442" s="98">
        <v>2009</v>
      </c>
      <c r="C2442" s="98">
        <v>146</v>
      </c>
    </row>
    <row r="2443" spans="1:3" x14ac:dyDescent="0.3">
      <c r="A2443" s="98" t="s">
        <v>171</v>
      </c>
      <c r="B2443" s="98">
        <v>2010</v>
      </c>
      <c r="C2443" s="98">
        <v>150.80000000000001</v>
      </c>
    </row>
    <row r="2444" spans="1:3" x14ac:dyDescent="0.3">
      <c r="A2444" s="98" t="s">
        <v>171</v>
      </c>
      <c r="B2444" s="98">
        <v>2011</v>
      </c>
      <c r="C2444" s="98">
        <v>163.75</v>
      </c>
    </row>
    <row r="2445" spans="1:3" x14ac:dyDescent="0.3">
      <c r="A2445" s="98" t="s">
        <v>171</v>
      </c>
      <c r="B2445" s="98">
        <v>2012</v>
      </c>
      <c r="C2445" s="98">
        <v>335.13</v>
      </c>
    </row>
    <row r="2446" spans="1:3" x14ac:dyDescent="0.3">
      <c r="A2446" s="98" t="s">
        <v>171</v>
      </c>
      <c r="B2446" s="98">
        <v>2013</v>
      </c>
      <c r="C2446" s="98">
        <v>434.96</v>
      </c>
    </row>
    <row r="2447" spans="1:3" x14ac:dyDescent="0.3">
      <c r="A2447" s="98" t="s">
        <v>171</v>
      </c>
      <c r="B2447" s="98">
        <v>2014</v>
      </c>
      <c r="C2447" s="98">
        <v>470.78</v>
      </c>
    </row>
    <row r="2448" spans="1:3" x14ac:dyDescent="0.3">
      <c r="A2448" s="98" t="s">
        <v>171</v>
      </c>
      <c r="B2448" s="98">
        <v>2015</v>
      </c>
      <c r="C2448" s="98">
        <v>672.68</v>
      </c>
    </row>
    <row r="2449" spans="1:3" x14ac:dyDescent="0.3">
      <c r="A2449" s="98" t="s">
        <v>171</v>
      </c>
      <c r="B2449" s="98">
        <v>2016</v>
      </c>
      <c r="C2449" s="98">
        <v>728.62</v>
      </c>
    </row>
    <row r="2450" spans="1:3" x14ac:dyDescent="0.3">
      <c r="A2450" s="98" t="s">
        <v>171</v>
      </c>
      <c r="B2450" s="98">
        <v>2017</v>
      </c>
      <c r="C2450" s="98">
        <v>732.03</v>
      </c>
    </row>
    <row r="2451" spans="1:3" x14ac:dyDescent="0.3">
      <c r="A2451" s="98" t="s">
        <v>171</v>
      </c>
      <c r="B2451" s="98">
        <v>2018</v>
      </c>
      <c r="C2451" s="98">
        <v>733.69</v>
      </c>
    </row>
    <row r="2452" spans="1:3" x14ac:dyDescent="0.3">
      <c r="A2452" s="98" t="s">
        <v>171</v>
      </c>
      <c r="B2452" s="98">
        <v>2019</v>
      </c>
      <c r="C2452" s="98">
        <v>738.87316999999996</v>
      </c>
    </row>
    <row r="2453" spans="1:3" x14ac:dyDescent="0.3">
      <c r="A2453" s="98" t="s">
        <v>171</v>
      </c>
      <c r="B2453" s="98">
        <v>2020</v>
      </c>
      <c r="C2453" s="98">
        <v>773.11247000000003</v>
      </c>
    </row>
    <row r="2454" spans="1:3" x14ac:dyDescent="0.3">
      <c r="A2454" s="98" t="s">
        <v>171</v>
      </c>
      <c r="B2454" s="98">
        <v>2021</v>
      </c>
    </row>
    <row r="2455" spans="1:3" x14ac:dyDescent="0.3">
      <c r="A2455" s="98" t="s">
        <v>171</v>
      </c>
      <c r="B2455" s="98">
        <v>2022</v>
      </c>
    </row>
    <row r="2456" spans="1:3" x14ac:dyDescent="0.3">
      <c r="A2456" s="98" t="s">
        <v>172</v>
      </c>
      <c r="B2456" s="98">
        <v>2001</v>
      </c>
      <c r="C2456" s="98">
        <v>3.8</v>
      </c>
    </row>
    <row r="2457" spans="1:3" x14ac:dyDescent="0.3">
      <c r="A2457" s="98" t="s">
        <v>172</v>
      </c>
      <c r="B2457" s="98">
        <v>2002</v>
      </c>
      <c r="C2457" s="98">
        <v>3.8</v>
      </c>
    </row>
    <row r="2458" spans="1:3" x14ac:dyDescent="0.3">
      <c r="A2458" s="98" t="s">
        <v>172</v>
      </c>
      <c r="B2458" s="98">
        <v>2003</v>
      </c>
      <c r="C2458" s="98">
        <v>3.8</v>
      </c>
    </row>
    <row r="2459" spans="1:3" x14ac:dyDescent="0.3">
      <c r="A2459" s="98" t="s">
        <v>172</v>
      </c>
      <c r="B2459" s="98">
        <v>2004</v>
      </c>
      <c r="C2459" s="98">
        <v>3.8</v>
      </c>
    </row>
    <row r="2460" spans="1:3" x14ac:dyDescent="0.3">
      <c r="A2460" s="98" t="s">
        <v>172</v>
      </c>
      <c r="B2460" s="98">
        <v>2005</v>
      </c>
      <c r="C2460" s="98">
        <v>3.78</v>
      </c>
    </row>
    <row r="2461" spans="1:3" x14ac:dyDescent="0.3">
      <c r="A2461" s="98" t="s">
        <v>172</v>
      </c>
      <c r="B2461" s="98">
        <v>2006</v>
      </c>
      <c r="C2461" s="98">
        <v>3.5314999999999999</v>
      </c>
    </row>
    <row r="2462" spans="1:3" x14ac:dyDescent="0.3">
      <c r="A2462" s="98" t="s">
        <v>172</v>
      </c>
      <c r="B2462" s="98">
        <v>2007</v>
      </c>
      <c r="C2462" s="98">
        <v>3.3065000000000002</v>
      </c>
    </row>
    <row r="2463" spans="1:3" x14ac:dyDescent="0.3">
      <c r="A2463" s="98" t="s">
        <v>172</v>
      </c>
      <c r="B2463" s="98">
        <v>2008</v>
      </c>
      <c r="C2463" s="98">
        <v>3.464</v>
      </c>
    </row>
    <row r="2464" spans="1:3" x14ac:dyDescent="0.3">
      <c r="A2464" s="98" t="s">
        <v>172</v>
      </c>
      <c r="B2464" s="98">
        <v>2009</v>
      </c>
      <c r="C2464" s="98">
        <v>3.4245000000000001</v>
      </c>
    </row>
    <row r="2465" spans="1:3" x14ac:dyDescent="0.3">
      <c r="A2465" s="98" t="s">
        <v>172</v>
      </c>
      <c r="B2465" s="98">
        <v>2010</v>
      </c>
      <c r="C2465" s="98">
        <v>3.0834999999999999</v>
      </c>
    </row>
    <row r="2466" spans="1:3" x14ac:dyDescent="0.3">
      <c r="A2466" s="98" t="s">
        <v>172</v>
      </c>
      <c r="B2466" s="98">
        <v>2011</v>
      </c>
      <c r="C2466" s="98">
        <v>3.177</v>
      </c>
    </row>
    <row r="2467" spans="1:3" x14ac:dyDescent="0.3">
      <c r="A2467" s="98" t="s">
        <v>172</v>
      </c>
      <c r="B2467" s="98">
        <v>2012</v>
      </c>
      <c r="C2467" s="98">
        <v>3.0582500000000001</v>
      </c>
    </row>
    <row r="2468" spans="1:3" x14ac:dyDescent="0.3">
      <c r="A2468" s="98" t="s">
        <v>172</v>
      </c>
      <c r="B2468" s="98">
        <v>2013</v>
      </c>
      <c r="C2468" s="98">
        <v>3.2814999999999999</v>
      </c>
    </row>
    <row r="2469" spans="1:3" x14ac:dyDescent="0.3">
      <c r="A2469" s="98" t="s">
        <v>172</v>
      </c>
      <c r="B2469" s="98">
        <v>2014</v>
      </c>
      <c r="C2469" s="98">
        <v>3.4950000000000001</v>
      </c>
    </row>
    <row r="2470" spans="1:3" x14ac:dyDescent="0.3">
      <c r="A2470" s="98" t="s">
        <v>172</v>
      </c>
      <c r="B2470" s="98">
        <v>2015</v>
      </c>
      <c r="C2470" s="98">
        <v>4.2919999999999998</v>
      </c>
    </row>
    <row r="2471" spans="1:3" x14ac:dyDescent="0.3">
      <c r="A2471" s="98" t="s">
        <v>172</v>
      </c>
      <c r="B2471" s="98">
        <v>2016</v>
      </c>
      <c r="C2471" s="98">
        <v>4.4859999999999998</v>
      </c>
    </row>
    <row r="2472" spans="1:3" x14ac:dyDescent="0.3">
      <c r="A2472" s="98" t="s">
        <v>172</v>
      </c>
      <c r="B2472" s="98">
        <v>2017</v>
      </c>
      <c r="C2472" s="98">
        <v>4.0620000000000003</v>
      </c>
    </row>
    <row r="2473" spans="1:3" x14ac:dyDescent="0.3">
      <c r="A2473" s="98" t="s">
        <v>172</v>
      </c>
      <c r="B2473" s="98">
        <v>2018</v>
      </c>
      <c r="C2473" s="98">
        <v>4.1384999999999996</v>
      </c>
    </row>
    <row r="2474" spans="1:3" x14ac:dyDescent="0.3">
      <c r="A2474" s="98" t="s">
        <v>172</v>
      </c>
      <c r="B2474" s="98">
        <v>2019</v>
      </c>
      <c r="C2474" s="98">
        <v>4.0925000000000002</v>
      </c>
    </row>
    <row r="2475" spans="1:3" x14ac:dyDescent="0.3">
      <c r="A2475" s="98" t="s">
        <v>172</v>
      </c>
      <c r="B2475" s="98">
        <v>2020</v>
      </c>
      <c r="C2475" s="98">
        <v>4.0129999999999999</v>
      </c>
    </row>
    <row r="2476" spans="1:3" x14ac:dyDescent="0.3">
      <c r="A2476" s="98" t="s">
        <v>172</v>
      </c>
      <c r="B2476" s="98">
        <v>2021</v>
      </c>
      <c r="C2476" s="98">
        <v>4.1760000000000002</v>
      </c>
    </row>
    <row r="2477" spans="1:3" x14ac:dyDescent="0.3">
      <c r="A2477" s="98" t="s">
        <v>172</v>
      </c>
      <c r="B2477" s="98">
        <v>2022</v>
      </c>
      <c r="C2477" s="98">
        <v>4.4130000000000003</v>
      </c>
    </row>
    <row r="2478" spans="1:3" x14ac:dyDescent="0.3">
      <c r="A2478" s="98" t="s">
        <v>173</v>
      </c>
      <c r="B2478" s="98">
        <v>2001</v>
      </c>
      <c r="C2478" s="98">
        <v>12.8</v>
      </c>
    </row>
    <row r="2479" spans="1:3" x14ac:dyDescent="0.3">
      <c r="A2479" s="98" t="s">
        <v>173</v>
      </c>
      <c r="B2479" s="98">
        <v>2002</v>
      </c>
      <c r="C2479" s="98">
        <v>12.8</v>
      </c>
    </row>
    <row r="2480" spans="1:3" x14ac:dyDescent="0.3">
      <c r="A2480" s="98" t="s">
        <v>173</v>
      </c>
      <c r="B2480" s="98">
        <v>2003</v>
      </c>
      <c r="C2480" s="98">
        <v>12.8</v>
      </c>
    </row>
    <row r="2481" spans="1:3" x14ac:dyDescent="0.3">
      <c r="A2481" s="98" t="s">
        <v>173</v>
      </c>
      <c r="B2481" s="98">
        <v>2004</v>
      </c>
      <c r="C2481" s="98">
        <v>12.8</v>
      </c>
    </row>
    <row r="2482" spans="1:3" x14ac:dyDescent="0.3">
      <c r="A2482" s="98" t="s">
        <v>173</v>
      </c>
      <c r="B2482" s="98">
        <v>2005</v>
      </c>
      <c r="C2482" s="98">
        <v>12.8</v>
      </c>
    </row>
    <row r="2483" spans="1:3" x14ac:dyDescent="0.3">
      <c r="A2483" s="98" t="s">
        <v>173</v>
      </c>
      <c r="B2483" s="98">
        <v>2006</v>
      </c>
      <c r="C2483" s="98">
        <v>12.8</v>
      </c>
    </row>
    <row r="2484" spans="1:3" x14ac:dyDescent="0.3">
      <c r="A2484" s="98" t="s">
        <v>173</v>
      </c>
      <c r="B2484" s="98">
        <v>2007</v>
      </c>
      <c r="C2484" s="98">
        <v>12.8</v>
      </c>
    </row>
    <row r="2485" spans="1:3" x14ac:dyDescent="0.3">
      <c r="A2485" s="98" t="s">
        <v>173</v>
      </c>
      <c r="B2485" s="98">
        <v>2008</v>
      </c>
      <c r="C2485" s="98">
        <v>12.8</v>
      </c>
    </row>
    <row r="2486" spans="1:3" x14ac:dyDescent="0.3">
      <c r="A2486" s="98" t="s">
        <v>173</v>
      </c>
      <c r="B2486" s="98">
        <v>2009</v>
      </c>
      <c r="C2486" s="98">
        <v>12.8</v>
      </c>
    </row>
    <row r="2487" spans="1:3" x14ac:dyDescent="0.3">
      <c r="A2487" s="98" t="s">
        <v>173</v>
      </c>
      <c r="B2487" s="98">
        <v>2010</v>
      </c>
      <c r="C2487" s="98">
        <v>12.8</v>
      </c>
    </row>
    <row r="2488" spans="1:3" x14ac:dyDescent="0.3">
      <c r="A2488" s="98" t="s">
        <v>173</v>
      </c>
      <c r="B2488" s="98">
        <v>2011</v>
      </c>
      <c r="C2488" s="98">
        <v>15.41</v>
      </c>
    </row>
    <row r="2489" spans="1:3" x14ac:dyDescent="0.3">
      <c r="A2489" s="98" t="s">
        <v>173</v>
      </c>
      <c r="B2489" s="98">
        <v>2012</v>
      </c>
      <c r="C2489" s="98">
        <v>15.365</v>
      </c>
    </row>
    <row r="2490" spans="1:3" x14ac:dyDescent="0.3">
      <c r="A2490" s="98" t="s">
        <v>173</v>
      </c>
      <c r="B2490" s="98">
        <v>2013</v>
      </c>
      <c r="C2490" s="98">
        <v>15.41</v>
      </c>
    </row>
    <row r="2491" spans="1:3" x14ac:dyDescent="0.3">
      <c r="A2491" s="98" t="s">
        <v>173</v>
      </c>
      <c r="B2491" s="98">
        <v>2014</v>
      </c>
      <c r="C2491" s="98">
        <v>15.4</v>
      </c>
    </row>
    <row r="2492" spans="1:3" x14ac:dyDescent="0.3">
      <c r="A2492" s="98" t="s">
        <v>173</v>
      </c>
      <c r="B2492" s="98">
        <v>2015</v>
      </c>
      <c r="C2492" s="98">
        <v>15.41</v>
      </c>
    </row>
    <row r="2493" spans="1:3" x14ac:dyDescent="0.3">
      <c r="A2493" s="98" t="s">
        <v>173</v>
      </c>
      <c r="B2493" s="98">
        <v>2016</v>
      </c>
      <c r="C2493" s="98">
        <v>15.35</v>
      </c>
    </row>
    <row r="2494" spans="1:3" x14ac:dyDescent="0.3">
      <c r="A2494" s="98" t="s">
        <v>173</v>
      </c>
      <c r="B2494" s="98">
        <v>2017</v>
      </c>
      <c r="C2494" s="98">
        <v>15.41</v>
      </c>
    </row>
    <row r="2495" spans="1:3" x14ac:dyDescent="0.3">
      <c r="A2495" s="98" t="s">
        <v>173</v>
      </c>
      <c r="B2495" s="98">
        <v>2018</v>
      </c>
      <c r="C2495" s="98">
        <v>15.41</v>
      </c>
    </row>
    <row r="2496" spans="1:3" x14ac:dyDescent="0.3">
      <c r="A2496" s="98" t="s">
        <v>173</v>
      </c>
      <c r="B2496" s="98">
        <v>2019</v>
      </c>
      <c r="C2496" s="98">
        <v>15.38</v>
      </c>
    </row>
    <row r="2497" spans="1:3" x14ac:dyDescent="0.3">
      <c r="A2497" s="98" t="s">
        <v>173</v>
      </c>
      <c r="B2497" s="98">
        <v>2020</v>
      </c>
      <c r="C2497" s="98">
        <v>15.41</v>
      </c>
    </row>
    <row r="2498" spans="1:3" x14ac:dyDescent="0.3">
      <c r="A2498" s="98" t="s">
        <v>173</v>
      </c>
      <c r="B2498" s="98">
        <v>2021</v>
      </c>
      <c r="C2498" s="98">
        <v>15.39</v>
      </c>
    </row>
    <row r="2499" spans="1:3" x14ac:dyDescent="0.3">
      <c r="A2499" s="98" t="s">
        <v>173</v>
      </c>
      <c r="B2499" s="98">
        <v>2022</v>
      </c>
      <c r="C2499" s="98">
        <v>15.4</v>
      </c>
    </row>
    <row r="2500" spans="1:3" x14ac:dyDescent="0.3">
      <c r="A2500" s="98" t="s">
        <v>174</v>
      </c>
      <c r="B2500" s="98">
        <v>2001</v>
      </c>
      <c r="C2500" s="98">
        <v>744.30614000000003</v>
      </c>
    </row>
    <row r="2501" spans="1:3" x14ac:dyDescent="0.3">
      <c r="A2501" s="98" t="s">
        <v>174</v>
      </c>
      <c r="B2501" s="98">
        <v>2002</v>
      </c>
      <c r="C2501" s="98">
        <v>625.49537999999995</v>
      </c>
    </row>
    <row r="2502" spans="1:3" x14ac:dyDescent="0.3">
      <c r="A2502" s="98" t="s">
        <v>174</v>
      </c>
      <c r="B2502" s="98">
        <v>2003</v>
      </c>
      <c r="C2502" s="98">
        <v>519.36420999999996</v>
      </c>
    </row>
    <row r="2503" spans="1:3" x14ac:dyDescent="0.3">
      <c r="A2503" s="98" t="s">
        <v>174</v>
      </c>
      <c r="B2503" s="98">
        <v>2004</v>
      </c>
      <c r="C2503" s="98">
        <v>481.57771000000002</v>
      </c>
    </row>
    <row r="2504" spans="1:3" x14ac:dyDescent="0.3">
      <c r="A2504" s="98" t="s">
        <v>174</v>
      </c>
      <c r="B2504" s="98">
        <v>2005</v>
      </c>
      <c r="C2504" s="98">
        <v>556.03713000000005</v>
      </c>
    </row>
    <row r="2505" spans="1:3" x14ac:dyDescent="0.3">
      <c r="A2505" s="98" t="s">
        <v>174</v>
      </c>
      <c r="B2505" s="98">
        <v>2006</v>
      </c>
      <c r="C2505" s="98">
        <v>498.06909999999999</v>
      </c>
    </row>
    <row r="2506" spans="1:3" x14ac:dyDescent="0.3">
      <c r="A2506" s="98" t="s">
        <v>174</v>
      </c>
      <c r="B2506" s="98">
        <v>2007</v>
      </c>
      <c r="C2506" s="98">
        <v>445.59269</v>
      </c>
    </row>
    <row r="2507" spans="1:3" x14ac:dyDescent="0.3">
      <c r="A2507" s="98" t="s">
        <v>174</v>
      </c>
      <c r="B2507" s="98">
        <v>2008</v>
      </c>
      <c r="C2507" s="98">
        <v>471.33506</v>
      </c>
    </row>
    <row r="2508" spans="1:3" x14ac:dyDescent="0.3">
      <c r="A2508" s="98" t="s">
        <v>174</v>
      </c>
      <c r="B2508" s="98">
        <v>2009</v>
      </c>
      <c r="C2508" s="98">
        <v>455.33596999999997</v>
      </c>
    </row>
    <row r="2509" spans="1:3" x14ac:dyDescent="0.3">
      <c r="A2509" s="98" t="s">
        <v>174</v>
      </c>
      <c r="B2509" s="98">
        <v>2010</v>
      </c>
      <c r="C2509" s="98">
        <v>490.91228999999998</v>
      </c>
    </row>
    <row r="2510" spans="1:3" x14ac:dyDescent="0.3">
      <c r="A2510" s="98" t="s">
        <v>174</v>
      </c>
      <c r="B2510" s="98">
        <v>2011</v>
      </c>
      <c r="C2510" s="98">
        <v>506.96113000000003</v>
      </c>
    </row>
    <row r="2511" spans="1:3" x14ac:dyDescent="0.3">
      <c r="A2511" s="98" t="s">
        <v>174</v>
      </c>
      <c r="B2511" s="98">
        <v>2012</v>
      </c>
      <c r="C2511" s="98">
        <v>497.16309999999999</v>
      </c>
    </row>
    <row r="2512" spans="1:3" x14ac:dyDescent="0.3">
      <c r="A2512" s="98" t="s">
        <v>174</v>
      </c>
      <c r="B2512" s="98">
        <v>2013</v>
      </c>
      <c r="C2512" s="98">
        <v>475.64136000000002</v>
      </c>
    </row>
    <row r="2513" spans="1:3" x14ac:dyDescent="0.3">
      <c r="A2513" s="98" t="s">
        <v>174</v>
      </c>
      <c r="B2513" s="98">
        <v>2014</v>
      </c>
      <c r="C2513" s="98">
        <v>540.28251</v>
      </c>
    </row>
    <row r="2514" spans="1:3" x14ac:dyDescent="0.3">
      <c r="A2514" s="98" t="s">
        <v>174</v>
      </c>
      <c r="B2514" s="98">
        <v>2015</v>
      </c>
      <c r="C2514" s="98">
        <v>602.51400999999998</v>
      </c>
    </row>
    <row r="2515" spans="1:3" x14ac:dyDescent="0.3">
      <c r="A2515" s="98" t="s">
        <v>174</v>
      </c>
      <c r="B2515" s="98">
        <v>2016</v>
      </c>
      <c r="C2515" s="98">
        <v>622.29105000000004</v>
      </c>
    </row>
    <row r="2516" spans="1:3" x14ac:dyDescent="0.3">
      <c r="A2516" s="98" t="s">
        <v>174</v>
      </c>
      <c r="B2516" s="98">
        <v>2017</v>
      </c>
      <c r="C2516" s="98">
        <v>546.94988999999998</v>
      </c>
    </row>
    <row r="2517" spans="1:3" x14ac:dyDescent="0.3">
      <c r="A2517" s="98" t="s">
        <v>174</v>
      </c>
      <c r="B2517" s="98">
        <v>2018</v>
      </c>
      <c r="C2517" s="98">
        <v>572.88820999999996</v>
      </c>
    </row>
    <row r="2518" spans="1:3" x14ac:dyDescent="0.3">
      <c r="A2518" s="98" t="s">
        <v>174</v>
      </c>
      <c r="B2518" s="98">
        <v>2019</v>
      </c>
      <c r="C2518" s="98">
        <v>583.90332999999998</v>
      </c>
    </row>
    <row r="2519" spans="1:3" x14ac:dyDescent="0.3">
      <c r="A2519" s="98" t="s">
        <v>174</v>
      </c>
      <c r="B2519" s="98">
        <v>2020</v>
      </c>
      <c r="C2519" s="98">
        <v>534.55871999999999</v>
      </c>
    </row>
    <row r="2520" spans="1:3" x14ac:dyDescent="0.3">
      <c r="A2520" s="98" t="s">
        <v>174</v>
      </c>
      <c r="B2520" s="98">
        <v>2021</v>
      </c>
      <c r="C2520" s="98">
        <v>579.16034000000002</v>
      </c>
    </row>
    <row r="2521" spans="1:3" x14ac:dyDescent="0.3">
      <c r="A2521" s="98" t="s">
        <v>174</v>
      </c>
      <c r="B2521" s="98">
        <v>2022</v>
      </c>
      <c r="C2521" s="98">
        <v>614.99811999999997</v>
      </c>
    </row>
    <row r="2522" spans="1:3" x14ac:dyDescent="0.3">
      <c r="A2522" s="98" t="s">
        <v>175</v>
      </c>
      <c r="B2522" s="98">
        <v>2001</v>
      </c>
      <c r="C2522" s="98">
        <v>0.45205912999999998</v>
      </c>
    </row>
    <row r="2523" spans="1:3" x14ac:dyDescent="0.3">
      <c r="A2523" s="98" t="s">
        <v>175</v>
      </c>
      <c r="B2523" s="98">
        <v>2002</v>
      </c>
      <c r="C2523" s="98">
        <v>0.39881949</v>
      </c>
    </row>
    <row r="2524" spans="1:3" x14ac:dyDescent="0.3">
      <c r="A2524" s="98" t="s">
        <v>175</v>
      </c>
      <c r="B2524" s="98">
        <v>2003</v>
      </c>
      <c r="C2524" s="98">
        <v>0.34250093999999998</v>
      </c>
    </row>
    <row r="2525" spans="1:3" x14ac:dyDescent="0.3">
      <c r="A2525" s="98" t="s">
        <v>175</v>
      </c>
      <c r="B2525" s="98">
        <v>2004</v>
      </c>
      <c r="C2525" s="98">
        <v>0.31854234999999997</v>
      </c>
    </row>
    <row r="2526" spans="1:3" x14ac:dyDescent="0.3">
      <c r="A2526" s="98" t="s">
        <v>175</v>
      </c>
      <c r="B2526" s="98">
        <v>2005</v>
      </c>
      <c r="C2526" s="98">
        <v>0.36271309000000002</v>
      </c>
    </row>
    <row r="2527" spans="1:3" x14ac:dyDescent="0.3">
      <c r="A2527" s="98" t="s">
        <v>175</v>
      </c>
      <c r="B2527" s="98">
        <v>2006</v>
      </c>
      <c r="C2527" s="98">
        <v>0.32574351000000001</v>
      </c>
    </row>
    <row r="2528" spans="1:3" x14ac:dyDescent="0.3">
      <c r="A2528" s="98" t="s">
        <v>175</v>
      </c>
      <c r="B2528" s="98">
        <v>2007</v>
      </c>
      <c r="C2528" s="98">
        <v>0.29162170999999998</v>
      </c>
    </row>
    <row r="2529" spans="1:3" x14ac:dyDescent="0.3">
      <c r="A2529" s="98" t="s">
        <v>175</v>
      </c>
      <c r="B2529" s="98">
        <v>2008</v>
      </c>
    </row>
    <row r="2530" spans="1:3" x14ac:dyDescent="0.3">
      <c r="A2530" s="98" t="s">
        <v>175</v>
      </c>
      <c r="B2530" s="98">
        <v>2009</v>
      </c>
    </row>
    <row r="2531" spans="1:3" x14ac:dyDescent="0.3">
      <c r="A2531" s="98" t="s">
        <v>175</v>
      </c>
      <c r="B2531" s="98">
        <v>2010</v>
      </c>
    </row>
    <row r="2532" spans="1:3" x14ac:dyDescent="0.3">
      <c r="A2532" s="98" t="s">
        <v>175</v>
      </c>
      <c r="B2532" s="98">
        <v>2011</v>
      </c>
    </row>
    <row r="2533" spans="1:3" x14ac:dyDescent="0.3">
      <c r="A2533" s="98" t="s">
        <v>175</v>
      </c>
      <c r="B2533" s="98">
        <v>2012</v>
      </c>
    </row>
    <row r="2534" spans="1:3" x14ac:dyDescent="0.3">
      <c r="A2534" s="98" t="s">
        <v>175</v>
      </c>
      <c r="B2534" s="98">
        <v>2013</v>
      </c>
    </row>
    <row r="2535" spans="1:3" x14ac:dyDescent="0.3">
      <c r="A2535" s="98" t="s">
        <v>175</v>
      </c>
      <c r="B2535" s="98">
        <v>2014</v>
      </c>
    </row>
    <row r="2536" spans="1:3" x14ac:dyDescent="0.3">
      <c r="A2536" s="98" t="s">
        <v>175</v>
      </c>
      <c r="B2536" s="98">
        <v>2015</v>
      </c>
    </row>
    <row r="2537" spans="1:3" x14ac:dyDescent="0.3">
      <c r="A2537" s="98" t="s">
        <v>175</v>
      </c>
      <c r="B2537" s="98">
        <v>2016</v>
      </c>
    </row>
    <row r="2538" spans="1:3" x14ac:dyDescent="0.3">
      <c r="A2538" s="98" t="s">
        <v>175</v>
      </c>
      <c r="B2538" s="98">
        <v>2017</v>
      </c>
    </row>
    <row r="2539" spans="1:3" x14ac:dyDescent="0.3">
      <c r="A2539" s="98" t="s">
        <v>175</v>
      </c>
      <c r="B2539" s="98">
        <v>2018</v>
      </c>
    </row>
    <row r="2540" spans="1:3" x14ac:dyDescent="0.3">
      <c r="A2540" s="98" t="s">
        <v>175</v>
      </c>
      <c r="B2540" s="98">
        <v>2019</v>
      </c>
    </row>
    <row r="2541" spans="1:3" x14ac:dyDescent="0.3">
      <c r="A2541" s="98" t="s">
        <v>175</v>
      </c>
      <c r="B2541" s="98">
        <v>2020</v>
      </c>
    </row>
    <row r="2542" spans="1:3" x14ac:dyDescent="0.3">
      <c r="A2542" s="98" t="s">
        <v>175</v>
      </c>
      <c r="B2542" s="98">
        <v>2021</v>
      </c>
    </row>
    <row r="2543" spans="1:3" x14ac:dyDescent="0.3">
      <c r="A2543" s="98" t="s">
        <v>175</v>
      </c>
      <c r="B2543" s="98">
        <v>2022</v>
      </c>
    </row>
    <row r="2544" spans="1:3" x14ac:dyDescent="0.3">
      <c r="A2544" s="98" t="s">
        <v>176</v>
      </c>
      <c r="B2544" s="98">
        <v>2001</v>
      </c>
      <c r="C2544" s="98">
        <v>26.411999999999999</v>
      </c>
    </row>
    <row r="2545" spans="1:3" x14ac:dyDescent="0.3">
      <c r="A2545" s="98" t="s">
        <v>176</v>
      </c>
      <c r="B2545" s="98">
        <v>2002</v>
      </c>
      <c r="C2545" s="98">
        <v>26.870999999999999</v>
      </c>
    </row>
    <row r="2546" spans="1:3" x14ac:dyDescent="0.3">
      <c r="A2546" s="98" t="s">
        <v>176</v>
      </c>
      <c r="B2546" s="98">
        <v>2003</v>
      </c>
      <c r="C2546" s="98">
        <v>26.56</v>
      </c>
    </row>
    <row r="2547" spans="1:3" x14ac:dyDescent="0.3">
      <c r="A2547" s="98" t="s">
        <v>176</v>
      </c>
      <c r="B2547" s="98">
        <v>2004</v>
      </c>
      <c r="C2547" s="98">
        <v>25.719000000000001</v>
      </c>
    </row>
    <row r="2548" spans="1:3" x14ac:dyDescent="0.3">
      <c r="A2548" s="98" t="s">
        <v>176</v>
      </c>
      <c r="B2548" s="98">
        <v>2005</v>
      </c>
      <c r="C2548" s="98">
        <v>27.061</v>
      </c>
    </row>
    <row r="2549" spans="1:3" x14ac:dyDescent="0.3">
      <c r="A2549" s="98" t="s">
        <v>176</v>
      </c>
      <c r="B2549" s="98">
        <v>2006</v>
      </c>
      <c r="C2549" s="98">
        <v>27.061</v>
      </c>
    </row>
    <row r="2550" spans="1:3" x14ac:dyDescent="0.3">
      <c r="A2550" s="98" t="s">
        <v>176</v>
      </c>
      <c r="B2550" s="98">
        <v>2007</v>
      </c>
      <c r="C2550" s="98">
        <v>25.288</v>
      </c>
    </row>
    <row r="2551" spans="1:3" x14ac:dyDescent="0.3">
      <c r="A2551" s="98" t="s">
        <v>176</v>
      </c>
      <c r="B2551" s="98">
        <v>2008</v>
      </c>
      <c r="C2551" s="98">
        <v>26.15</v>
      </c>
    </row>
    <row r="2552" spans="1:3" x14ac:dyDescent="0.3">
      <c r="A2552" s="98" t="s">
        <v>176</v>
      </c>
      <c r="B2552" s="98">
        <v>2009</v>
      </c>
      <c r="C2552" s="98">
        <v>26.199000000000002</v>
      </c>
    </row>
    <row r="2553" spans="1:3" x14ac:dyDescent="0.3">
      <c r="A2553" s="98" t="s">
        <v>176</v>
      </c>
      <c r="B2553" s="98">
        <v>2010</v>
      </c>
      <c r="C2553" s="98">
        <v>28.2</v>
      </c>
    </row>
    <row r="2554" spans="1:3" x14ac:dyDescent="0.3">
      <c r="A2554" s="98" t="s">
        <v>176</v>
      </c>
      <c r="B2554" s="98">
        <v>2011</v>
      </c>
      <c r="C2554" s="98">
        <v>28.85</v>
      </c>
    </row>
    <row r="2555" spans="1:3" x14ac:dyDescent="0.3">
      <c r="A2555" s="98" t="s">
        <v>176</v>
      </c>
      <c r="B2555" s="98">
        <v>2012</v>
      </c>
      <c r="C2555" s="98">
        <v>30.3035</v>
      </c>
    </row>
    <row r="2556" spans="1:3" x14ac:dyDescent="0.3">
      <c r="A2556" s="98" t="s">
        <v>176</v>
      </c>
      <c r="B2556" s="98">
        <v>2013</v>
      </c>
      <c r="C2556" s="98">
        <v>29.9</v>
      </c>
    </row>
    <row r="2557" spans="1:3" x14ac:dyDescent="0.3">
      <c r="A2557" s="98" t="s">
        <v>176</v>
      </c>
      <c r="B2557" s="98">
        <v>2014</v>
      </c>
      <c r="C2557" s="98">
        <v>31.263999999999999</v>
      </c>
    </row>
    <row r="2558" spans="1:3" x14ac:dyDescent="0.3">
      <c r="A2558" s="98" t="s">
        <v>176</v>
      </c>
      <c r="B2558" s="98">
        <v>2015</v>
      </c>
      <c r="C2558" s="98">
        <v>33.895000000000003</v>
      </c>
    </row>
    <row r="2559" spans="1:3" x14ac:dyDescent="0.3">
      <c r="A2559" s="98" t="s">
        <v>176</v>
      </c>
      <c r="B2559" s="98">
        <v>2016</v>
      </c>
      <c r="C2559" s="98">
        <v>35.649000000000001</v>
      </c>
    </row>
    <row r="2560" spans="1:3" x14ac:dyDescent="0.3">
      <c r="A2560" s="98" t="s">
        <v>176</v>
      </c>
      <c r="B2560" s="98">
        <v>2017</v>
      </c>
      <c r="C2560" s="98">
        <v>35.347999999999999</v>
      </c>
    </row>
    <row r="2561" spans="1:3" x14ac:dyDescent="0.3">
      <c r="A2561" s="98" t="s">
        <v>176</v>
      </c>
      <c r="B2561" s="98">
        <v>2018</v>
      </c>
      <c r="C2561" s="98">
        <v>36.35</v>
      </c>
    </row>
    <row r="2562" spans="1:3" x14ac:dyDescent="0.3">
      <c r="A2562" s="98" t="s">
        <v>176</v>
      </c>
      <c r="B2562" s="98">
        <v>2019</v>
      </c>
      <c r="C2562" s="98">
        <v>37.32</v>
      </c>
    </row>
    <row r="2563" spans="1:3" x14ac:dyDescent="0.3">
      <c r="A2563" s="98" t="s">
        <v>176</v>
      </c>
      <c r="B2563" s="98">
        <v>2020</v>
      </c>
      <c r="C2563" s="98">
        <v>36.67</v>
      </c>
    </row>
    <row r="2564" spans="1:3" x14ac:dyDescent="0.3">
      <c r="A2564" s="98" t="s">
        <v>176</v>
      </c>
      <c r="B2564" s="98">
        <v>2021</v>
      </c>
      <c r="C2564" s="98">
        <v>36.22</v>
      </c>
    </row>
    <row r="2565" spans="1:3" x14ac:dyDescent="0.3">
      <c r="A2565" s="98" t="s">
        <v>176</v>
      </c>
      <c r="B2565" s="98">
        <v>2022</v>
      </c>
    </row>
    <row r="2566" spans="1:3" x14ac:dyDescent="0.3">
      <c r="A2566" s="98" t="s">
        <v>177</v>
      </c>
      <c r="B2566" s="98">
        <v>2001</v>
      </c>
      <c r="C2566" s="98">
        <v>30.394200000000001</v>
      </c>
    </row>
    <row r="2567" spans="1:3" x14ac:dyDescent="0.3">
      <c r="A2567" s="98" t="s">
        <v>177</v>
      </c>
      <c r="B2567" s="98">
        <v>2002</v>
      </c>
      <c r="C2567" s="98">
        <v>29.1968</v>
      </c>
    </row>
    <row r="2568" spans="1:3" x14ac:dyDescent="0.3">
      <c r="A2568" s="98" t="s">
        <v>177</v>
      </c>
      <c r="B2568" s="98">
        <v>2003</v>
      </c>
      <c r="C2568" s="98">
        <v>26.087700000000002</v>
      </c>
    </row>
    <row r="2569" spans="1:3" x14ac:dyDescent="0.3">
      <c r="A2569" s="98" t="s">
        <v>177</v>
      </c>
      <c r="B2569" s="98">
        <v>2004</v>
      </c>
      <c r="C2569" s="98">
        <v>28.2044</v>
      </c>
    </row>
    <row r="2570" spans="1:3" x14ac:dyDescent="0.3">
      <c r="A2570" s="98" t="s">
        <v>177</v>
      </c>
      <c r="B2570" s="98">
        <v>2005</v>
      </c>
      <c r="C2570" s="98">
        <v>30.666599999999999</v>
      </c>
    </row>
    <row r="2571" spans="1:3" x14ac:dyDescent="0.3">
      <c r="A2571" s="98" t="s">
        <v>177</v>
      </c>
      <c r="B2571" s="98">
        <v>2006</v>
      </c>
      <c r="C2571" s="98">
        <v>34.336799999999997</v>
      </c>
    </row>
    <row r="2572" spans="1:3" x14ac:dyDescent="0.3">
      <c r="A2572" s="98" t="s">
        <v>177</v>
      </c>
      <c r="B2572" s="98">
        <v>2007</v>
      </c>
      <c r="C2572" s="98">
        <v>28.216200000000001</v>
      </c>
    </row>
    <row r="2573" spans="1:3" x14ac:dyDescent="0.3">
      <c r="A2573" s="98" t="s">
        <v>177</v>
      </c>
      <c r="B2573" s="98">
        <v>2008</v>
      </c>
      <c r="C2573" s="98">
        <v>31.755500000000001</v>
      </c>
    </row>
    <row r="2574" spans="1:3" x14ac:dyDescent="0.3">
      <c r="A2574" s="98" t="s">
        <v>177</v>
      </c>
      <c r="B2574" s="98">
        <v>2009</v>
      </c>
      <c r="C2574" s="98">
        <v>30.290500000000002</v>
      </c>
    </row>
    <row r="2575" spans="1:3" x14ac:dyDescent="0.3">
      <c r="A2575" s="98" t="s">
        <v>177</v>
      </c>
      <c r="B2575" s="98">
        <v>2010</v>
      </c>
      <c r="C2575" s="98">
        <v>30.390799999999999</v>
      </c>
    </row>
    <row r="2576" spans="1:3" x14ac:dyDescent="0.3">
      <c r="A2576" s="98" t="s">
        <v>177</v>
      </c>
      <c r="B2576" s="98">
        <v>2011</v>
      </c>
      <c r="C2576" s="98">
        <v>29.3262</v>
      </c>
    </row>
    <row r="2577" spans="1:3" x14ac:dyDescent="0.3">
      <c r="A2577" s="98" t="s">
        <v>177</v>
      </c>
      <c r="B2577" s="98">
        <v>2012</v>
      </c>
      <c r="C2577" s="98">
        <v>30.524799999999999</v>
      </c>
    </row>
    <row r="2578" spans="1:3" x14ac:dyDescent="0.3">
      <c r="A2578" s="98" t="s">
        <v>177</v>
      </c>
      <c r="B2578" s="98">
        <v>2013</v>
      </c>
      <c r="C2578" s="98">
        <v>30.0792</v>
      </c>
    </row>
    <row r="2579" spans="1:3" x14ac:dyDescent="0.3">
      <c r="A2579" s="98" t="s">
        <v>177</v>
      </c>
      <c r="B2579" s="98">
        <v>2014</v>
      </c>
      <c r="C2579" s="98">
        <v>31.728100000000001</v>
      </c>
    </row>
    <row r="2580" spans="1:3" x14ac:dyDescent="0.3">
      <c r="A2580" s="98" t="s">
        <v>177</v>
      </c>
      <c r="B2580" s="98">
        <v>2015</v>
      </c>
      <c r="C2580" s="98">
        <v>35.8887</v>
      </c>
    </row>
    <row r="2581" spans="1:3" x14ac:dyDescent="0.3">
      <c r="A2581" s="98" t="s">
        <v>177</v>
      </c>
      <c r="B2581" s="98">
        <v>2016</v>
      </c>
      <c r="C2581" s="98">
        <v>36.010100000000001</v>
      </c>
    </row>
    <row r="2582" spans="1:3" x14ac:dyDescent="0.3">
      <c r="A2582" s="98" t="s">
        <v>177</v>
      </c>
      <c r="B2582" s="98">
        <v>2017</v>
      </c>
      <c r="C2582" s="98">
        <v>33.483800000000002</v>
      </c>
    </row>
    <row r="2583" spans="1:3" x14ac:dyDescent="0.3">
      <c r="A2583" s="98" t="s">
        <v>177</v>
      </c>
      <c r="B2583" s="98">
        <v>2018</v>
      </c>
      <c r="C2583" s="98">
        <v>34.248800000000003</v>
      </c>
    </row>
    <row r="2584" spans="1:3" x14ac:dyDescent="0.3">
      <c r="A2584" s="98" t="s">
        <v>177</v>
      </c>
      <c r="B2584" s="98">
        <v>2019</v>
      </c>
      <c r="C2584" s="98">
        <v>36.600099999999998</v>
      </c>
    </row>
    <row r="2585" spans="1:3" x14ac:dyDescent="0.3">
      <c r="A2585" s="98" t="s">
        <v>177</v>
      </c>
      <c r="B2585" s="98">
        <v>2020</v>
      </c>
      <c r="C2585" s="98">
        <v>39.528599999999997</v>
      </c>
    </row>
    <row r="2586" spans="1:3" x14ac:dyDescent="0.3">
      <c r="A2586" s="98" t="s">
        <v>177</v>
      </c>
      <c r="B2586" s="98">
        <v>2021</v>
      </c>
      <c r="C2586" s="98">
        <v>43.529400000000003</v>
      </c>
    </row>
    <row r="2587" spans="1:3" x14ac:dyDescent="0.3">
      <c r="A2587" s="98" t="s">
        <v>177</v>
      </c>
      <c r="B2587" s="98">
        <v>2022</v>
      </c>
      <c r="C2587" s="98">
        <v>43.894100000000002</v>
      </c>
    </row>
    <row r="2588" spans="1:3" x14ac:dyDescent="0.3">
      <c r="A2588" s="98" t="s">
        <v>178</v>
      </c>
      <c r="B2588" s="98">
        <v>2001</v>
      </c>
      <c r="C2588" s="98">
        <v>9.1423000000000005</v>
      </c>
    </row>
    <row r="2589" spans="1:3" x14ac:dyDescent="0.3">
      <c r="A2589" s="98" t="s">
        <v>178</v>
      </c>
      <c r="B2589" s="98">
        <v>2002</v>
      </c>
      <c r="C2589" s="98">
        <v>10.3125</v>
      </c>
    </row>
    <row r="2590" spans="1:3" x14ac:dyDescent="0.3">
      <c r="A2590" s="98" t="s">
        <v>178</v>
      </c>
      <c r="B2590" s="98">
        <v>2003</v>
      </c>
      <c r="C2590" s="98">
        <v>11.236000000000001</v>
      </c>
    </row>
    <row r="2591" spans="1:3" x14ac:dyDescent="0.3">
      <c r="A2591" s="98" t="s">
        <v>178</v>
      </c>
      <c r="B2591" s="98">
        <v>2004</v>
      </c>
      <c r="C2591" s="98">
        <v>11.264799999999999</v>
      </c>
    </row>
    <row r="2592" spans="1:3" x14ac:dyDescent="0.3">
      <c r="A2592" s="98" t="s">
        <v>178</v>
      </c>
      <c r="B2592" s="98">
        <v>2005</v>
      </c>
      <c r="C2592" s="98">
        <v>10.777699999999999</v>
      </c>
    </row>
    <row r="2593" spans="1:3" x14ac:dyDescent="0.3">
      <c r="A2593" s="98" t="s">
        <v>178</v>
      </c>
      <c r="B2593" s="98">
        <v>2006</v>
      </c>
      <c r="C2593" s="98">
        <v>10.881</v>
      </c>
    </row>
    <row r="2594" spans="1:3" x14ac:dyDescent="0.3">
      <c r="A2594" s="98" t="s">
        <v>178</v>
      </c>
      <c r="B2594" s="98">
        <v>2007</v>
      </c>
      <c r="C2594" s="98">
        <v>10.866199999999999</v>
      </c>
    </row>
    <row r="2595" spans="1:3" x14ac:dyDescent="0.3">
      <c r="A2595" s="98" t="s">
        <v>178</v>
      </c>
      <c r="B2595" s="98">
        <v>2008</v>
      </c>
      <c r="C2595" s="98">
        <v>13.5383</v>
      </c>
    </row>
    <row r="2596" spans="1:3" x14ac:dyDescent="0.3">
      <c r="A2596" s="98" t="s">
        <v>178</v>
      </c>
      <c r="B2596" s="98">
        <v>2009</v>
      </c>
      <c r="C2596" s="98">
        <v>13.0587</v>
      </c>
    </row>
    <row r="2597" spans="1:3" x14ac:dyDescent="0.3">
      <c r="A2597" s="98" t="s">
        <v>178</v>
      </c>
      <c r="B2597" s="98">
        <v>2010</v>
      </c>
      <c r="C2597" s="98">
        <v>12.357100000000001</v>
      </c>
    </row>
    <row r="2598" spans="1:3" x14ac:dyDescent="0.3">
      <c r="A2598" s="98" t="s">
        <v>178</v>
      </c>
      <c r="B2598" s="98">
        <v>2011</v>
      </c>
      <c r="C2598" s="98">
        <v>13.990399999999999</v>
      </c>
    </row>
    <row r="2599" spans="1:3" x14ac:dyDescent="0.3">
      <c r="A2599" s="98" t="s">
        <v>178</v>
      </c>
      <c r="B2599" s="98">
        <v>2012</v>
      </c>
      <c r="C2599" s="98">
        <v>13.0101</v>
      </c>
    </row>
    <row r="2600" spans="1:3" x14ac:dyDescent="0.3">
      <c r="A2600" s="98" t="s">
        <v>178</v>
      </c>
      <c r="B2600" s="98">
        <v>2013</v>
      </c>
      <c r="C2600" s="98">
        <v>13.076499999999999</v>
      </c>
    </row>
    <row r="2601" spans="1:3" x14ac:dyDescent="0.3">
      <c r="A2601" s="98" t="s">
        <v>178</v>
      </c>
      <c r="B2601" s="98">
        <v>2014</v>
      </c>
      <c r="C2601" s="98">
        <v>14.718</v>
      </c>
    </row>
    <row r="2602" spans="1:3" x14ac:dyDescent="0.3">
      <c r="A2602" s="98" t="s">
        <v>178</v>
      </c>
      <c r="B2602" s="98">
        <v>2015</v>
      </c>
      <c r="C2602" s="98">
        <v>17.206499999999998</v>
      </c>
    </row>
    <row r="2603" spans="1:3" x14ac:dyDescent="0.3">
      <c r="A2603" s="98" t="s">
        <v>178</v>
      </c>
      <c r="B2603" s="98">
        <v>2016</v>
      </c>
      <c r="C2603" s="98">
        <v>20.731400000000001</v>
      </c>
    </row>
    <row r="2604" spans="1:3" x14ac:dyDescent="0.3">
      <c r="A2604" s="98" t="s">
        <v>178</v>
      </c>
      <c r="B2604" s="98">
        <v>2017</v>
      </c>
      <c r="C2604" s="98">
        <v>19.7867</v>
      </c>
    </row>
    <row r="2605" spans="1:3" x14ac:dyDescent="0.3">
      <c r="A2605" s="98" t="s">
        <v>178</v>
      </c>
      <c r="B2605" s="98">
        <v>2018</v>
      </c>
      <c r="C2605" s="98">
        <v>19.6829</v>
      </c>
    </row>
    <row r="2606" spans="1:3" x14ac:dyDescent="0.3">
      <c r="A2606" s="98" t="s">
        <v>178</v>
      </c>
      <c r="B2606" s="98">
        <v>2019</v>
      </c>
      <c r="C2606" s="98">
        <v>18.845199999999998</v>
      </c>
    </row>
    <row r="2607" spans="1:3" x14ac:dyDescent="0.3">
      <c r="A2607" s="98" t="s">
        <v>178</v>
      </c>
      <c r="B2607" s="98">
        <v>2020</v>
      </c>
      <c r="C2607" s="98">
        <v>19.948699999999999</v>
      </c>
    </row>
    <row r="2608" spans="1:3" x14ac:dyDescent="0.3">
      <c r="A2608" s="98" t="s">
        <v>178</v>
      </c>
      <c r="B2608" s="98">
        <v>2021</v>
      </c>
      <c r="C2608" s="98">
        <v>20.583500000000001</v>
      </c>
    </row>
    <row r="2609" spans="1:3" x14ac:dyDescent="0.3">
      <c r="A2609" s="98" t="s">
        <v>178</v>
      </c>
      <c r="B2609" s="98">
        <v>2022</v>
      </c>
      <c r="C2609" s="98">
        <v>19.414300000000001</v>
      </c>
    </row>
    <row r="2610" spans="1:3" x14ac:dyDescent="0.3">
      <c r="A2610" s="98" t="s">
        <v>179</v>
      </c>
      <c r="B2610" s="98">
        <v>2001</v>
      </c>
      <c r="C2610" s="98">
        <v>1</v>
      </c>
    </row>
    <row r="2611" spans="1:3" x14ac:dyDescent="0.3">
      <c r="A2611" s="98" t="s">
        <v>179</v>
      </c>
      <c r="B2611" s="98">
        <v>2002</v>
      </c>
      <c r="C2611" s="98">
        <v>1</v>
      </c>
    </row>
    <row r="2612" spans="1:3" x14ac:dyDescent="0.3">
      <c r="A2612" s="98" t="s">
        <v>179</v>
      </c>
      <c r="B2612" s="98">
        <v>2003</v>
      </c>
      <c r="C2612" s="98">
        <v>1</v>
      </c>
    </row>
    <row r="2613" spans="1:3" x14ac:dyDescent="0.3">
      <c r="A2613" s="98" t="s">
        <v>179</v>
      </c>
      <c r="B2613" s="98">
        <v>2004</v>
      </c>
      <c r="C2613" s="98">
        <v>1</v>
      </c>
    </row>
    <row r="2614" spans="1:3" x14ac:dyDescent="0.3">
      <c r="A2614" s="98" t="s">
        <v>179</v>
      </c>
      <c r="B2614" s="98">
        <v>2005</v>
      </c>
      <c r="C2614" s="98">
        <v>1</v>
      </c>
    </row>
    <row r="2615" spans="1:3" x14ac:dyDescent="0.3">
      <c r="A2615" s="98" t="s">
        <v>179</v>
      </c>
      <c r="B2615" s="98">
        <v>2006</v>
      </c>
      <c r="C2615" s="98">
        <v>1</v>
      </c>
    </row>
    <row r="2616" spans="1:3" x14ac:dyDescent="0.3">
      <c r="A2616" s="98" t="s">
        <v>179</v>
      </c>
      <c r="B2616" s="98">
        <v>2007</v>
      </c>
      <c r="C2616" s="98">
        <v>1</v>
      </c>
    </row>
    <row r="2617" spans="1:3" x14ac:dyDescent="0.3">
      <c r="A2617" s="98" t="s">
        <v>179</v>
      </c>
      <c r="B2617" s="98">
        <v>2008</v>
      </c>
      <c r="C2617" s="98">
        <v>1</v>
      </c>
    </row>
    <row r="2618" spans="1:3" x14ac:dyDescent="0.3">
      <c r="A2618" s="98" t="s">
        <v>179</v>
      </c>
      <c r="B2618" s="98">
        <v>2009</v>
      </c>
      <c r="C2618" s="98">
        <v>1</v>
      </c>
    </row>
    <row r="2619" spans="1:3" x14ac:dyDescent="0.3">
      <c r="A2619" s="98" t="s">
        <v>179</v>
      </c>
      <c r="B2619" s="98">
        <v>2010</v>
      </c>
      <c r="C2619" s="98">
        <v>1</v>
      </c>
    </row>
    <row r="2620" spans="1:3" x14ac:dyDescent="0.3">
      <c r="A2620" s="98" t="s">
        <v>179</v>
      </c>
      <c r="B2620" s="98">
        <v>2011</v>
      </c>
      <c r="C2620" s="98">
        <v>1</v>
      </c>
    </row>
    <row r="2621" spans="1:3" x14ac:dyDescent="0.3">
      <c r="A2621" s="98" t="s">
        <v>179</v>
      </c>
      <c r="B2621" s="98">
        <v>2012</v>
      </c>
      <c r="C2621" s="98">
        <v>1</v>
      </c>
    </row>
    <row r="2622" spans="1:3" x14ac:dyDescent="0.3">
      <c r="A2622" s="98" t="s">
        <v>179</v>
      </c>
      <c r="B2622" s="98">
        <v>2013</v>
      </c>
      <c r="C2622" s="98">
        <v>1</v>
      </c>
    </row>
    <row r="2623" spans="1:3" x14ac:dyDescent="0.3">
      <c r="A2623" s="98" t="s">
        <v>179</v>
      </c>
      <c r="B2623" s="98">
        <v>2014</v>
      </c>
      <c r="C2623" s="98">
        <v>1</v>
      </c>
    </row>
    <row r="2624" spans="1:3" x14ac:dyDescent="0.3">
      <c r="A2624" s="98" t="s">
        <v>179</v>
      </c>
      <c r="B2624" s="98">
        <v>2015</v>
      </c>
      <c r="C2624" s="98">
        <v>1</v>
      </c>
    </row>
    <row r="2625" spans="1:3" x14ac:dyDescent="0.3">
      <c r="A2625" s="98" t="s">
        <v>179</v>
      </c>
      <c r="B2625" s="98">
        <v>2016</v>
      </c>
      <c r="C2625" s="98">
        <v>1</v>
      </c>
    </row>
    <row r="2626" spans="1:3" x14ac:dyDescent="0.3">
      <c r="A2626" s="98" t="s">
        <v>179</v>
      </c>
      <c r="B2626" s="98">
        <v>2017</v>
      </c>
      <c r="C2626" s="98">
        <v>1</v>
      </c>
    </row>
    <row r="2627" spans="1:3" x14ac:dyDescent="0.3">
      <c r="A2627" s="98" t="s">
        <v>179</v>
      </c>
      <c r="B2627" s="98">
        <v>2018</v>
      </c>
      <c r="C2627" s="98">
        <v>1</v>
      </c>
    </row>
    <row r="2628" spans="1:3" x14ac:dyDescent="0.3">
      <c r="A2628" s="98" t="s">
        <v>179</v>
      </c>
      <c r="B2628" s="98">
        <v>2019</v>
      </c>
      <c r="C2628" s="98">
        <v>1</v>
      </c>
    </row>
    <row r="2629" spans="1:3" x14ac:dyDescent="0.3">
      <c r="A2629" s="98" t="s">
        <v>179</v>
      </c>
      <c r="B2629" s="98">
        <v>2020</v>
      </c>
      <c r="C2629" s="98">
        <v>1</v>
      </c>
    </row>
    <row r="2630" spans="1:3" x14ac:dyDescent="0.3">
      <c r="A2630" s="98" t="s">
        <v>179</v>
      </c>
      <c r="B2630" s="98">
        <v>2021</v>
      </c>
      <c r="C2630" s="98">
        <v>1</v>
      </c>
    </row>
    <row r="2631" spans="1:3" x14ac:dyDescent="0.3">
      <c r="A2631" s="98" t="s">
        <v>179</v>
      </c>
      <c r="B2631" s="98">
        <v>2022</v>
      </c>
      <c r="C2631" s="98">
        <v>1</v>
      </c>
    </row>
    <row r="2632" spans="1:3" x14ac:dyDescent="0.3">
      <c r="A2632" s="98" t="s">
        <v>180</v>
      </c>
      <c r="B2632" s="98">
        <v>2001</v>
      </c>
      <c r="C2632" s="98">
        <v>13.0909</v>
      </c>
    </row>
    <row r="2633" spans="1:3" x14ac:dyDescent="0.3">
      <c r="A2633" s="98" t="s">
        <v>180</v>
      </c>
      <c r="B2633" s="98">
        <v>2002</v>
      </c>
      <c r="C2633" s="98">
        <v>13.821999999999999</v>
      </c>
    </row>
    <row r="2634" spans="1:3" x14ac:dyDescent="0.3">
      <c r="A2634" s="98" t="s">
        <v>180</v>
      </c>
      <c r="B2634" s="98">
        <v>2003</v>
      </c>
      <c r="C2634" s="98">
        <v>13.22</v>
      </c>
    </row>
    <row r="2635" spans="1:3" x14ac:dyDescent="0.3">
      <c r="A2635" s="98" t="s">
        <v>180</v>
      </c>
      <c r="B2635" s="98">
        <v>2004</v>
      </c>
      <c r="C2635" s="98">
        <v>12.4611</v>
      </c>
    </row>
    <row r="2636" spans="1:3" x14ac:dyDescent="0.3">
      <c r="A2636" s="98" t="s">
        <v>180</v>
      </c>
      <c r="B2636" s="98">
        <v>2005</v>
      </c>
      <c r="C2636" s="98">
        <v>12.832000000000001</v>
      </c>
    </row>
    <row r="2637" spans="1:3" x14ac:dyDescent="0.3">
      <c r="A2637" s="98" t="s">
        <v>180</v>
      </c>
      <c r="B2637" s="98">
        <v>2006</v>
      </c>
      <c r="C2637" s="98">
        <v>12.904999999999999</v>
      </c>
    </row>
    <row r="2638" spans="1:3" x14ac:dyDescent="0.3">
      <c r="A2638" s="98" t="s">
        <v>180</v>
      </c>
      <c r="B2638" s="98">
        <v>2007</v>
      </c>
      <c r="C2638" s="98">
        <v>11.3192</v>
      </c>
    </row>
    <row r="2639" spans="1:3" x14ac:dyDescent="0.3">
      <c r="A2639" s="98" t="s">
        <v>180</v>
      </c>
      <c r="B2639" s="98">
        <v>2008</v>
      </c>
      <c r="C2639" s="98">
        <v>10.4002</v>
      </c>
    </row>
    <row r="2640" spans="1:3" x14ac:dyDescent="0.3">
      <c r="A2640" s="98" t="s">
        <v>180</v>
      </c>
      <c r="B2640" s="98">
        <v>2009</v>
      </c>
      <c r="C2640" s="98">
        <v>12.3017</v>
      </c>
    </row>
    <row r="2641" spans="1:3" x14ac:dyDescent="0.3">
      <c r="A2641" s="98" t="s">
        <v>180</v>
      </c>
      <c r="B2641" s="98">
        <v>2010</v>
      </c>
      <c r="C2641" s="98">
        <v>12.1539</v>
      </c>
    </row>
    <row r="2642" spans="1:3" x14ac:dyDescent="0.3">
      <c r="A2642" s="98" t="s">
        <v>180</v>
      </c>
      <c r="B2642" s="98">
        <v>2011</v>
      </c>
      <c r="C2642" s="98">
        <v>11.715400000000001</v>
      </c>
    </row>
    <row r="2643" spans="1:3" x14ac:dyDescent="0.3">
      <c r="A2643" s="98" t="s">
        <v>180</v>
      </c>
      <c r="B2643" s="98">
        <v>2012</v>
      </c>
      <c r="C2643" s="98">
        <v>12.0634</v>
      </c>
    </row>
    <row r="2644" spans="1:3" x14ac:dyDescent="0.3">
      <c r="A2644" s="98" t="s">
        <v>180</v>
      </c>
      <c r="B2644" s="98">
        <v>2013</v>
      </c>
      <c r="C2644" s="98">
        <v>13.057</v>
      </c>
    </row>
    <row r="2645" spans="1:3" x14ac:dyDescent="0.3">
      <c r="A2645" s="98" t="s">
        <v>180</v>
      </c>
      <c r="B2645" s="98">
        <v>2014</v>
      </c>
      <c r="C2645" s="98">
        <v>15.6152</v>
      </c>
    </row>
    <row r="2646" spans="1:3" x14ac:dyDescent="0.3">
      <c r="A2646" s="98" t="s">
        <v>180</v>
      </c>
      <c r="B2646" s="98">
        <v>2015</v>
      </c>
      <c r="C2646" s="98">
        <v>19.6585</v>
      </c>
    </row>
    <row r="2647" spans="1:3" x14ac:dyDescent="0.3">
      <c r="A2647" s="98" t="s">
        <v>180</v>
      </c>
      <c r="B2647" s="98">
        <v>2016</v>
      </c>
      <c r="C2647" s="98">
        <v>19.981400000000001</v>
      </c>
    </row>
    <row r="2648" spans="1:3" x14ac:dyDescent="0.3">
      <c r="A2648" s="98" t="s">
        <v>180</v>
      </c>
      <c r="B2648" s="98">
        <v>2017</v>
      </c>
      <c r="C2648" s="98">
        <v>17.100200000000001</v>
      </c>
    </row>
    <row r="2649" spans="1:3" x14ac:dyDescent="0.3">
      <c r="A2649" s="98" t="s">
        <v>180</v>
      </c>
      <c r="B2649" s="98">
        <v>2018</v>
      </c>
      <c r="C2649" s="98">
        <v>17.142700000000001</v>
      </c>
    </row>
    <row r="2650" spans="1:3" x14ac:dyDescent="0.3">
      <c r="A2650" s="98" t="s">
        <v>180</v>
      </c>
      <c r="B2650" s="98">
        <v>2019</v>
      </c>
      <c r="C2650" s="98">
        <v>17.209299999999999</v>
      </c>
    </row>
    <row r="2651" spans="1:3" x14ac:dyDescent="0.3">
      <c r="A2651" s="98" t="s">
        <v>180</v>
      </c>
      <c r="B2651" s="98">
        <v>2020</v>
      </c>
      <c r="C2651" s="98">
        <v>17.214600000000001</v>
      </c>
    </row>
    <row r="2652" spans="1:3" x14ac:dyDescent="0.3">
      <c r="A2652" s="98" t="s">
        <v>180</v>
      </c>
      <c r="B2652" s="98">
        <v>2021</v>
      </c>
      <c r="C2652" s="98">
        <v>17.745200000000001</v>
      </c>
    </row>
    <row r="2653" spans="1:3" x14ac:dyDescent="0.3">
      <c r="A2653" s="98" t="s">
        <v>180</v>
      </c>
      <c r="B2653" s="98">
        <v>2022</v>
      </c>
      <c r="C2653" s="98">
        <v>19.157900000000001</v>
      </c>
    </row>
    <row r="2654" spans="1:3" x14ac:dyDescent="0.3">
      <c r="A2654" s="98" t="s">
        <v>181</v>
      </c>
      <c r="B2654" s="98">
        <v>2001</v>
      </c>
      <c r="C2654" s="98">
        <v>1102</v>
      </c>
    </row>
    <row r="2655" spans="1:3" x14ac:dyDescent="0.3">
      <c r="A2655" s="98" t="s">
        <v>181</v>
      </c>
      <c r="B2655" s="98">
        <v>2002</v>
      </c>
      <c r="C2655" s="98">
        <v>1125</v>
      </c>
    </row>
    <row r="2656" spans="1:3" x14ac:dyDescent="0.3">
      <c r="A2656" s="98" t="s">
        <v>181</v>
      </c>
      <c r="B2656" s="98">
        <v>2003</v>
      </c>
      <c r="C2656" s="98">
        <v>1168</v>
      </c>
    </row>
    <row r="2657" spans="1:3" x14ac:dyDescent="0.3">
      <c r="A2657" s="98" t="s">
        <v>181</v>
      </c>
      <c r="B2657" s="98">
        <v>2004</v>
      </c>
      <c r="C2657" s="98">
        <v>1209</v>
      </c>
    </row>
    <row r="2658" spans="1:3" x14ac:dyDescent="0.3">
      <c r="A2658" s="98" t="s">
        <v>181</v>
      </c>
      <c r="B2658" s="98">
        <v>2005</v>
      </c>
      <c r="C2658" s="98">
        <v>1221</v>
      </c>
    </row>
    <row r="2659" spans="1:3" x14ac:dyDescent="0.3">
      <c r="A2659" s="98" t="s">
        <v>181</v>
      </c>
      <c r="B2659" s="98">
        <v>2006</v>
      </c>
      <c r="C2659" s="98">
        <v>1165</v>
      </c>
    </row>
    <row r="2660" spans="1:3" x14ac:dyDescent="0.3">
      <c r="A2660" s="98" t="s">
        <v>181</v>
      </c>
      <c r="B2660" s="98">
        <v>2007</v>
      </c>
      <c r="C2660" s="98">
        <v>1169.97</v>
      </c>
    </row>
    <row r="2661" spans="1:3" x14ac:dyDescent="0.3">
      <c r="A2661" s="98" t="s">
        <v>181</v>
      </c>
      <c r="B2661" s="98">
        <v>2008</v>
      </c>
      <c r="C2661" s="98">
        <v>1267.51</v>
      </c>
    </row>
    <row r="2662" spans="1:3" x14ac:dyDescent="0.3">
      <c r="A2662" s="98" t="s">
        <v>181</v>
      </c>
      <c r="B2662" s="98">
        <v>2009</v>
      </c>
      <c r="C2662" s="98">
        <v>1442.84</v>
      </c>
    </row>
    <row r="2663" spans="1:3" x14ac:dyDescent="0.3">
      <c r="A2663" s="98" t="s">
        <v>181</v>
      </c>
      <c r="B2663" s="98">
        <v>2010</v>
      </c>
      <c r="C2663" s="98">
        <v>1256.47</v>
      </c>
    </row>
    <row r="2664" spans="1:3" x14ac:dyDescent="0.3">
      <c r="A2664" s="98" t="s">
        <v>181</v>
      </c>
      <c r="B2664" s="98">
        <v>2011</v>
      </c>
      <c r="C2664" s="98">
        <v>1396.37</v>
      </c>
    </row>
    <row r="2665" spans="1:3" x14ac:dyDescent="0.3">
      <c r="A2665" s="98" t="s">
        <v>181</v>
      </c>
      <c r="B2665" s="98">
        <v>2012</v>
      </c>
      <c r="C2665" s="98">
        <v>1392.1</v>
      </c>
    </row>
    <row r="2666" spans="1:3" x14ac:dyDescent="0.3">
      <c r="A2666" s="98" t="s">
        <v>181</v>
      </c>
      <c r="B2666" s="98">
        <v>2013</v>
      </c>
      <c r="C2666" s="98">
        <v>1654.1</v>
      </c>
    </row>
    <row r="2667" spans="1:3" x14ac:dyDescent="0.3">
      <c r="A2667" s="98" t="s">
        <v>181</v>
      </c>
      <c r="B2667" s="98">
        <v>2014</v>
      </c>
      <c r="C2667" s="98">
        <v>1885.6</v>
      </c>
    </row>
    <row r="2668" spans="1:3" x14ac:dyDescent="0.3">
      <c r="A2668" s="98" t="s">
        <v>181</v>
      </c>
      <c r="B2668" s="98">
        <v>2015</v>
      </c>
      <c r="C2668" s="98">
        <v>1995.98</v>
      </c>
    </row>
    <row r="2669" spans="1:3" x14ac:dyDescent="0.3">
      <c r="A2669" s="98" t="s">
        <v>181</v>
      </c>
      <c r="B2669" s="98">
        <v>2016</v>
      </c>
      <c r="C2669" s="98">
        <v>2489.5300000000002</v>
      </c>
    </row>
    <row r="2670" spans="1:3" x14ac:dyDescent="0.3">
      <c r="A2670" s="98" t="s">
        <v>181</v>
      </c>
      <c r="B2670" s="98">
        <v>2017</v>
      </c>
      <c r="C2670" s="98">
        <v>2427.13</v>
      </c>
    </row>
    <row r="2671" spans="1:3" x14ac:dyDescent="0.3">
      <c r="A2671" s="98" t="s">
        <v>181</v>
      </c>
      <c r="B2671" s="98">
        <v>2018</v>
      </c>
      <c r="C2671" s="98">
        <v>2643.69</v>
      </c>
    </row>
    <row r="2672" spans="1:3" x14ac:dyDescent="0.3">
      <c r="A2672" s="98" t="s">
        <v>181</v>
      </c>
      <c r="B2672" s="98">
        <v>2019</v>
      </c>
      <c r="C2672" s="98">
        <v>2734.33</v>
      </c>
    </row>
    <row r="2673" spans="1:3" x14ac:dyDescent="0.3">
      <c r="A2673" s="98" t="s">
        <v>181</v>
      </c>
      <c r="B2673" s="98">
        <v>2020</v>
      </c>
      <c r="C2673" s="98">
        <v>2849.89</v>
      </c>
    </row>
    <row r="2674" spans="1:3" x14ac:dyDescent="0.3">
      <c r="A2674" s="98" t="s">
        <v>181</v>
      </c>
      <c r="B2674" s="98">
        <v>2021</v>
      </c>
      <c r="C2674" s="98">
        <v>2849.34</v>
      </c>
    </row>
    <row r="2675" spans="1:3" x14ac:dyDescent="0.3">
      <c r="A2675" s="98" t="s">
        <v>181</v>
      </c>
      <c r="B2675" s="98">
        <v>2022</v>
      </c>
    </row>
    <row r="2676" spans="1:3" x14ac:dyDescent="0.3">
      <c r="A2676" s="98" t="s">
        <v>182</v>
      </c>
      <c r="B2676" s="98">
        <v>2001</v>
      </c>
      <c r="C2676" s="98">
        <v>1.1346874</v>
      </c>
    </row>
    <row r="2677" spans="1:3" x14ac:dyDescent="0.3">
      <c r="A2677" s="98" t="s">
        <v>182</v>
      </c>
      <c r="B2677" s="98">
        <v>2002</v>
      </c>
      <c r="C2677" s="98">
        <v>0.95356154999999998</v>
      </c>
    </row>
    <row r="2678" spans="1:3" x14ac:dyDescent="0.3">
      <c r="A2678" s="98" t="s">
        <v>182</v>
      </c>
      <c r="B2678" s="98">
        <v>2003</v>
      </c>
      <c r="C2678" s="98">
        <v>0.79176564000000005</v>
      </c>
    </row>
    <row r="2679" spans="1:3" x14ac:dyDescent="0.3">
      <c r="A2679" s="98" t="s">
        <v>182</v>
      </c>
      <c r="B2679" s="98">
        <v>2004</v>
      </c>
      <c r="C2679" s="98">
        <v>0.73416049000000005</v>
      </c>
    </row>
    <row r="2680" spans="1:3" x14ac:dyDescent="0.3">
      <c r="A2680" s="98" t="s">
        <v>182</v>
      </c>
      <c r="B2680" s="98">
        <v>2005</v>
      </c>
      <c r="C2680" s="98">
        <v>0.84767314000000005</v>
      </c>
    </row>
    <row r="2681" spans="1:3" x14ac:dyDescent="0.3">
      <c r="A2681" s="98" t="s">
        <v>182</v>
      </c>
      <c r="B2681" s="98">
        <v>2006</v>
      </c>
      <c r="C2681" s="98">
        <v>0.75930143999999999</v>
      </c>
    </row>
    <row r="2682" spans="1:3" x14ac:dyDescent="0.3">
      <c r="A2682" s="98" t="s">
        <v>182</v>
      </c>
      <c r="B2682" s="98">
        <v>2007</v>
      </c>
      <c r="C2682" s="98">
        <v>0.67930168000000002</v>
      </c>
    </row>
    <row r="2683" spans="1:3" x14ac:dyDescent="0.3">
      <c r="A2683" s="98" t="s">
        <v>182</v>
      </c>
      <c r="B2683" s="98">
        <v>2008</v>
      </c>
      <c r="C2683" s="98">
        <v>0.71854565999999997</v>
      </c>
    </row>
    <row r="2684" spans="1:3" x14ac:dyDescent="0.3">
      <c r="A2684" s="98" t="s">
        <v>182</v>
      </c>
      <c r="B2684" s="98">
        <v>2009</v>
      </c>
      <c r="C2684" s="98">
        <v>0.69415521000000002</v>
      </c>
    </row>
    <row r="2685" spans="1:3" x14ac:dyDescent="0.3">
      <c r="A2685" s="98" t="s">
        <v>182</v>
      </c>
      <c r="B2685" s="98">
        <v>2010</v>
      </c>
      <c r="C2685" s="98">
        <v>0.74839096000000005</v>
      </c>
    </row>
    <row r="2686" spans="1:3" x14ac:dyDescent="0.3">
      <c r="A2686" s="98" t="s">
        <v>182</v>
      </c>
      <c r="B2686" s="98">
        <v>2011</v>
      </c>
      <c r="C2686" s="98">
        <v>0.77285725000000005</v>
      </c>
    </row>
    <row r="2687" spans="1:3" x14ac:dyDescent="0.3">
      <c r="A2687" s="98" t="s">
        <v>182</v>
      </c>
      <c r="B2687" s="98">
        <v>2012</v>
      </c>
      <c r="C2687" s="98">
        <v>0.75792026999999995</v>
      </c>
    </row>
    <row r="2688" spans="1:3" x14ac:dyDescent="0.3">
      <c r="A2688" s="98" t="s">
        <v>182</v>
      </c>
      <c r="B2688" s="98">
        <v>2013</v>
      </c>
      <c r="C2688" s="98">
        <v>0.72511057999999995</v>
      </c>
    </row>
    <row r="2689" spans="1:3" x14ac:dyDescent="0.3">
      <c r="A2689" s="98" t="s">
        <v>182</v>
      </c>
      <c r="B2689" s="98">
        <v>2014</v>
      </c>
      <c r="C2689" s="98">
        <v>0.82365538000000005</v>
      </c>
    </row>
    <row r="2690" spans="1:3" x14ac:dyDescent="0.3">
      <c r="A2690" s="98" t="s">
        <v>182</v>
      </c>
      <c r="B2690" s="98">
        <v>2015</v>
      </c>
      <c r="C2690" s="98">
        <v>0.91852668000000004</v>
      </c>
    </row>
    <row r="2691" spans="1:3" x14ac:dyDescent="0.3">
      <c r="A2691" s="98" t="s">
        <v>182</v>
      </c>
      <c r="B2691" s="98">
        <v>2016</v>
      </c>
      <c r="C2691" s="98">
        <v>0.94867659999999998</v>
      </c>
    </row>
    <row r="2692" spans="1:3" x14ac:dyDescent="0.3">
      <c r="A2692" s="98" t="s">
        <v>182</v>
      </c>
      <c r="B2692" s="98">
        <v>2017</v>
      </c>
      <c r="C2692" s="98">
        <v>0.83381972999999998</v>
      </c>
    </row>
    <row r="2693" spans="1:3" x14ac:dyDescent="0.3">
      <c r="A2693" s="98" t="s">
        <v>182</v>
      </c>
      <c r="B2693" s="98">
        <v>2018</v>
      </c>
      <c r="C2693" s="98">
        <v>0.87336245000000001</v>
      </c>
    </row>
    <row r="2694" spans="1:3" x14ac:dyDescent="0.3">
      <c r="A2694" s="98" t="s">
        <v>182</v>
      </c>
      <c r="B2694" s="98">
        <v>2019</v>
      </c>
      <c r="C2694" s="98">
        <v>0.89015489000000003</v>
      </c>
    </row>
    <row r="2695" spans="1:3" x14ac:dyDescent="0.3">
      <c r="A2695" s="98" t="s">
        <v>182</v>
      </c>
      <c r="B2695" s="98">
        <v>2020</v>
      </c>
      <c r="C2695" s="98">
        <v>0.81492951000000002</v>
      </c>
    </row>
    <row r="2696" spans="1:3" x14ac:dyDescent="0.3">
      <c r="A2696" s="98" t="s">
        <v>182</v>
      </c>
      <c r="B2696" s="98">
        <v>2021</v>
      </c>
      <c r="C2696" s="98">
        <v>0.88292424999999997</v>
      </c>
    </row>
    <row r="2697" spans="1:3" x14ac:dyDescent="0.3">
      <c r="A2697" s="98" t="s">
        <v>182</v>
      </c>
      <c r="B2697" s="98">
        <v>2022</v>
      </c>
      <c r="C2697" s="98">
        <v>0.93755860000000002</v>
      </c>
    </row>
    <row r="2698" spans="1:3" x14ac:dyDescent="0.3">
      <c r="A2698" s="98" t="s">
        <v>183</v>
      </c>
      <c r="B2698" s="98">
        <v>2001</v>
      </c>
      <c r="C2698" s="98">
        <v>2.7</v>
      </c>
    </row>
    <row r="2699" spans="1:3" x14ac:dyDescent="0.3">
      <c r="A2699" s="98" t="s">
        <v>183</v>
      </c>
      <c r="B2699" s="98">
        <v>2002</v>
      </c>
      <c r="C2699" s="98">
        <v>2.7</v>
      </c>
    </row>
    <row r="2700" spans="1:3" x14ac:dyDescent="0.3">
      <c r="A2700" s="98" t="s">
        <v>183</v>
      </c>
      <c r="B2700" s="98">
        <v>2003</v>
      </c>
      <c r="C2700" s="98">
        <v>2.7</v>
      </c>
    </row>
    <row r="2701" spans="1:3" x14ac:dyDescent="0.3">
      <c r="A2701" s="98" t="s">
        <v>183</v>
      </c>
      <c r="B2701" s="98">
        <v>2004</v>
      </c>
      <c r="C2701" s="98">
        <v>2.7</v>
      </c>
    </row>
    <row r="2702" spans="1:3" x14ac:dyDescent="0.3">
      <c r="A2702" s="98" t="s">
        <v>183</v>
      </c>
      <c r="B2702" s="98">
        <v>2005</v>
      </c>
      <c r="C2702" s="98">
        <v>2.7</v>
      </c>
    </row>
    <row r="2703" spans="1:3" x14ac:dyDescent="0.3">
      <c r="A2703" s="98" t="s">
        <v>183</v>
      </c>
      <c r="B2703" s="98">
        <v>2006</v>
      </c>
      <c r="C2703" s="98">
        <v>2.7</v>
      </c>
    </row>
    <row r="2704" spans="1:3" x14ac:dyDescent="0.3">
      <c r="A2704" s="98" t="s">
        <v>183</v>
      </c>
      <c r="B2704" s="98">
        <v>2007</v>
      </c>
      <c r="C2704" s="98">
        <v>2.7</v>
      </c>
    </row>
    <row r="2705" spans="1:3" x14ac:dyDescent="0.3">
      <c r="A2705" s="98" t="s">
        <v>183</v>
      </c>
      <c r="B2705" s="98">
        <v>2008</v>
      </c>
      <c r="C2705" s="98">
        <v>2.7</v>
      </c>
    </row>
    <row r="2706" spans="1:3" x14ac:dyDescent="0.3">
      <c r="A2706" s="98" t="s">
        <v>183</v>
      </c>
      <c r="B2706" s="98">
        <v>2009</v>
      </c>
      <c r="C2706" s="98">
        <v>2.7</v>
      </c>
    </row>
    <row r="2707" spans="1:3" x14ac:dyDescent="0.3">
      <c r="A2707" s="98" t="s">
        <v>183</v>
      </c>
      <c r="B2707" s="98">
        <v>2010</v>
      </c>
      <c r="C2707" s="98">
        <v>2.7</v>
      </c>
    </row>
    <row r="2708" spans="1:3" x14ac:dyDescent="0.3">
      <c r="A2708" s="98" t="s">
        <v>183</v>
      </c>
      <c r="B2708" s="98">
        <v>2011</v>
      </c>
      <c r="C2708" s="98">
        <v>2.7</v>
      </c>
    </row>
    <row r="2709" spans="1:3" x14ac:dyDescent="0.3">
      <c r="A2709" s="98" t="s">
        <v>183</v>
      </c>
      <c r="B2709" s="98">
        <v>2012</v>
      </c>
      <c r="C2709" s="98">
        <v>2.7</v>
      </c>
    </row>
    <row r="2710" spans="1:3" x14ac:dyDescent="0.3">
      <c r="A2710" s="98" t="s">
        <v>183</v>
      </c>
      <c r="B2710" s="98">
        <v>2013</v>
      </c>
      <c r="C2710" s="98">
        <v>2.7</v>
      </c>
    </row>
    <row r="2711" spans="1:3" x14ac:dyDescent="0.3">
      <c r="A2711" s="98" t="s">
        <v>183</v>
      </c>
      <c r="B2711" s="98">
        <v>2014</v>
      </c>
      <c r="C2711" s="98">
        <v>2.7</v>
      </c>
    </row>
    <row r="2712" spans="1:3" x14ac:dyDescent="0.3">
      <c r="A2712" s="98" t="s">
        <v>183</v>
      </c>
      <c r="B2712" s="98">
        <v>2015</v>
      </c>
      <c r="C2712" s="98">
        <v>2.7</v>
      </c>
    </row>
    <row r="2713" spans="1:3" x14ac:dyDescent="0.3">
      <c r="A2713" s="98" t="s">
        <v>183</v>
      </c>
      <c r="B2713" s="98">
        <v>2016</v>
      </c>
      <c r="C2713" s="98">
        <v>2.7</v>
      </c>
    </row>
    <row r="2714" spans="1:3" x14ac:dyDescent="0.3">
      <c r="A2714" s="98" t="s">
        <v>183</v>
      </c>
      <c r="B2714" s="98">
        <v>2017</v>
      </c>
      <c r="C2714" s="98">
        <v>2.7</v>
      </c>
    </row>
    <row r="2715" spans="1:3" x14ac:dyDescent="0.3">
      <c r="A2715" s="98" t="s">
        <v>183</v>
      </c>
      <c r="B2715" s="98">
        <v>2018</v>
      </c>
      <c r="C2715" s="98">
        <v>2.7</v>
      </c>
    </row>
    <row r="2716" spans="1:3" x14ac:dyDescent="0.3">
      <c r="A2716" s="98" t="s">
        <v>183</v>
      </c>
      <c r="B2716" s="98">
        <v>2019</v>
      </c>
      <c r="C2716" s="98">
        <v>2.7</v>
      </c>
    </row>
    <row r="2717" spans="1:3" x14ac:dyDescent="0.3">
      <c r="A2717" s="98" t="s">
        <v>183</v>
      </c>
      <c r="B2717" s="98">
        <v>2020</v>
      </c>
      <c r="C2717" s="98">
        <v>2.7</v>
      </c>
    </row>
    <row r="2718" spans="1:3" x14ac:dyDescent="0.3">
      <c r="A2718" s="98" t="s">
        <v>183</v>
      </c>
      <c r="B2718" s="98">
        <v>2021</v>
      </c>
      <c r="C2718" s="98">
        <v>2.7</v>
      </c>
    </row>
    <row r="2719" spans="1:3" x14ac:dyDescent="0.3">
      <c r="A2719" s="98" t="s">
        <v>183</v>
      </c>
      <c r="B2719" s="98">
        <v>2022</v>
      </c>
      <c r="C2719" s="98">
        <v>2.7</v>
      </c>
    </row>
    <row r="2720" spans="1:3" x14ac:dyDescent="0.3">
      <c r="A2720" s="98" t="s">
        <v>184</v>
      </c>
      <c r="B2720" s="98">
        <v>2001</v>
      </c>
      <c r="C2720" s="98">
        <v>11.56</v>
      </c>
    </row>
    <row r="2721" spans="1:3" x14ac:dyDescent="0.3">
      <c r="A2721" s="98" t="s">
        <v>184</v>
      </c>
      <c r="B2721" s="98">
        <v>2002</v>
      </c>
      <c r="C2721" s="98">
        <v>10.167</v>
      </c>
    </row>
    <row r="2722" spans="1:3" x14ac:dyDescent="0.3">
      <c r="A2722" s="98" t="s">
        <v>184</v>
      </c>
      <c r="B2722" s="98">
        <v>2003</v>
      </c>
      <c r="C2722" s="98">
        <v>8.7499000000000002</v>
      </c>
    </row>
    <row r="2723" spans="1:3" x14ac:dyDescent="0.3">
      <c r="A2723" s="98" t="s">
        <v>184</v>
      </c>
      <c r="B2723" s="98">
        <v>2004</v>
      </c>
      <c r="C2723" s="98">
        <v>8.2177000000000007</v>
      </c>
    </row>
    <row r="2724" spans="1:3" x14ac:dyDescent="0.3">
      <c r="A2724" s="98" t="s">
        <v>184</v>
      </c>
      <c r="B2724" s="98">
        <v>2005</v>
      </c>
      <c r="C2724" s="98">
        <v>9.2493999999999996</v>
      </c>
    </row>
    <row r="2725" spans="1:3" x14ac:dyDescent="0.3">
      <c r="A2725" s="98" t="s">
        <v>184</v>
      </c>
      <c r="B2725" s="98">
        <v>2006</v>
      </c>
      <c r="C2725" s="98">
        <v>8.4565999999999999</v>
      </c>
    </row>
    <row r="2726" spans="1:3" x14ac:dyDescent="0.3">
      <c r="A2726" s="98" t="s">
        <v>184</v>
      </c>
      <c r="B2726" s="98">
        <v>2007</v>
      </c>
      <c r="C2726" s="98">
        <v>7.7131999999999996</v>
      </c>
    </row>
    <row r="2727" spans="1:3" x14ac:dyDescent="0.3">
      <c r="A2727" s="98" t="s">
        <v>184</v>
      </c>
      <c r="B2727" s="98">
        <v>2008</v>
      </c>
      <c r="C2727" s="98">
        <v>8.0982000000000003</v>
      </c>
    </row>
    <row r="2728" spans="1:3" x14ac:dyDescent="0.3">
      <c r="A2728" s="98" t="s">
        <v>184</v>
      </c>
      <c r="B2728" s="98">
        <v>2009</v>
      </c>
      <c r="C2728" s="98">
        <v>7.8601000000000001</v>
      </c>
    </row>
    <row r="2729" spans="1:3" x14ac:dyDescent="0.3">
      <c r="A2729" s="98" t="s">
        <v>184</v>
      </c>
      <c r="B2729" s="98">
        <v>2010</v>
      </c>
      <c r="C2729" s="98">
        <v>8.3568999999999996</v>
      </c>
    </row>
    <row r="2730" spans="1:3" x14ac:dyDescent="0.3">
      <c r="A2730" s="98" t="s">
        <v>184</v>
      </c>
      <c r="B2730" s="98">
        <v>2011</v>
      </c>
      <c r="C2730" s="98">
        <v>8.5771999999999995</v>
      </c>
    </row>
    <row r="2731" spans="1:3" x14ac:dyDescent="0.3">
      <c r="A2731" s="98" t="s">
        <v>184</v>
      </c>
      <c r="B2731" s="98">
        <v>2012</v>
      </c>
      <c r="C2731" s="98">
        <v>8.4335000000000004</v>
      </c>
    </row>
    <row r="2732" spans="1:3" x14ac:dyDescent="0.3">
      <c r="A2732" s="98" t="s">
        <v>184</v>
      </c>
      <c r="B2732" s="98">
        <v>2013</v>
      </c>
      <c r="C2732" s="98">
        <v>8.1506000000000007</v>
      </c>
    </row>
    <row r="2733" spans="1:3" x14ac:dyDescent="0.3">
      <c r="A2733" s="98" t="s">
        <v>184</v>
      </c>
      <c r="B2733" s="98">
        <v>2014</v>
      </c>
      <c r="C2733" s="98">
        <v>9.0425000000000004</v>
      </c>
    </row>
    <row r="2734" spans="1:3" x14ac:dyDescent="0.3">
      <c r="A2734" s="98" t="s">
        <v>184</v>
      </c>
      <c r="B2734" s="98">
        <v>2015</v>
      </c>
      <c r="C2734" s="98">
        <v>9.9056999999999995</v>
      </c>
    </row>
    <row r="2735" spans="1:3" x14ac:dyDescent="0.3">
      <c r="A2735" s="98" t="s">
        <v>184</v>
      </c>
      <c r="B2735" s="98">
        <v>2016</v>
      </c>
      <c r="C2735" s="98">
        <v>10.096</v>
      </c>
    </row>
    <row r="2736" spans="1:3" x14ac:dyDescent="0.3">
      <c r="A2736" s="98" t="s">
        <v>184</v>
      </c>
      <c r="B2736" s="98">
        <v>2017</v>
      </c>
      <c r="C2736" s="98">
        <v>9.3294999999999995</v>
      </c>
    </row>
    <row r="2737" spans="1:3" x14ac:dyDescent="0.3">
      <c r="A2737" s="98" t="s">
        <v>184</v>
      </c>
      <c r="B2737" s="98">
        <v>2018</v>
      </c>
      <c r="C2737" s="98">
        <v>9.5655000000000001</v>
      </c>
    </row>
    <row r="2738" spans="1:3" x14ac:dyDescent="0.3">
      <c r="A2738" s="98" t="s">
        <v>184</v>
      </c>
      <c r="B2738" s="98">
        <v>2019</v>
      </c>
      <c r="C2738" s="98">
        <v>9.5931999999999995</v>
      </c>
    </row>
    <row r="2739" spans="1:3" x14ac:dyDescent="0.3">
      <c r="A2739" s="98" t="s">
        <v>184</v>
      </c>
      <c r="B2739" s="98">
        <v>2020</v>
      </c>
      <c r="C2739" s="98">
        <v>8.9047999999999998</v>
      </c>
    </row>
    <row r="2740" spans="1:3" x14ac:dyDescent="0.3">
      <c r="A2740" s="98" t="s">
        <v>184</v>
      </c>
      <c r="B2740" s="98">
        <v>2021</v>
      </c>
      <c r="C2740" s="98">
        <v>9.2804000000000002</v>
      </c>
    </row>
    <row r="2741" spans="1:3" x14ac:dyDescent="0.3">
      <c r="A2741" s="98" t="s">
        <v>184</v>
      </c>
      <c r="B2741" s="98">
        <v>2022</v>
      </c>
      <c r="C2741" s="98">
        <v>10.448</v>
      </c>
    </row>
    <row r="2742" spans="1:3" x14ac:dyDescent="0.3">
      <c r="A2742" s="98" t="s">
        <v>185</v>
      </c>
      <c r="B2742" s="98">
        <v>2001</v>
      </c>
      <c r="C2742" s="98">
        <v>23.320409999999999</v>
      </c>
    </row>
    <row r="2743" spans="1:3" x14ac:dyDescent="0.3">
      <c r="A2743" s="98" t="s">
        <v>185</v>
      </c>
      <c r="B2743" s="98">
        <v>2002</v>
      </c>
      <c r="C2743" s="98">
        <v>23.854299999999999</v>
      </c>
    </row>
    <row r="2744" spans="1:3" x14ac:dyDescent="0.3">
      <c r="A2744" s="98" t="s">
        <v>185</v>
      </c>
      <c r="B2744" s="98">
        <v>2003</v>
      </c>
      <c r="C2744" s="98">
        <v>23.85669</v>
      </c>
    </row>
    <row r="2745" spans="1:3" x14ac:dyDescent="0.3">
      <c r="A2745" s="98" t="s">
        <v>185</v>
      </c>
      <c r="B2745" s="98">
        <v>2004</v>
      </c>
      <c r="C2745" s="98">
        <v>18.8993</v>
      </c>
    </row>
    <row r="2746" spans="1:3" x14ac:dyDescent="0.3">
      <c r="A2746" s="98" t="s">
        <v>185</v>
      </c>
      <c r="B2746" s="98">
        <v>2005</v>
      </c>
      <c r="C2746" s="98">
        <v>24.183</v>
      </c>
    </row>
    <row r="2747" spans="1:3" x14ac:dyDescent="0.3">
      <c r="A2747" s="98" t="s">
        <v>185</v>
      </c>
      <c r="B2747" s="98">
        <v>2006</v>
      </c>
      <c r="C2747" s="98">
        <v>25.97</v>
      </c>
    </row>
    <row r="2748" spans="1:3" x14ac:dyDescent="0.3">
      <c r="A2748" s="98" t="s">
        <v>185</v>
      </c>
      <c r="B2748" s="98">
        <v>2007</v>
      </c>
      <c r="C2748" s="98">
        <v>23.82</v>
      </c>
    </row>
    <row r="2749" spans="1:3" x14ac:dyDescent="0.3">
      <c r="A2749" s="98" t="s">
        <v>185</v>
      </c>
      <c r="B2749" s="98">
        <v>2008</v>
      </c>
      <c r="C2749" s="98">
        <v>25.5</v>
      </c>
    </row>
    <row r="2750" spans="1:3" x14ac:dyDescent="0.3">
      <c r="A2750" s="98" t="s">
        <v>185</v>
      </c>
      <c r="B2750" s="98">
        <v>2009</v>
      </c>
      <c r="C2750" s="98">
        <v>29.19</v>
      </c>
    </row>
    <row r="2751" spans="1:3" x14ac:dyDescent="0.3">
      <c r="A2751" s="98" t="s">
        <v>185</v>
      </c>
      <c r="B2751" s="98">
        <v>2010</v>
      </c>
      <c r="C2751" s="98">
        <v>32.58</v>
      </c>
    </row>
    <row r="2752" spans="1:3" x14ac:dyDescent="0.3">
      <c r="A2752" s="98" t="s">
        <v>185</v>
      </c>
      <c r="B2752" s="98">
        <v>2011</v>
      </c>
      <c r="C2752" s="98">
        <v>27.31</v>
      </c>
    </row>
    <row r="2753" spans="1:3" x14ac:dyDescent="0.3">
      <c r="A2753" s="98" t="s">
        <v>185</v>
      </c>
      <c r="B2753" s="98">
        <v>2012</v>
      </c>
      <c r="C2753" s="98">
        <v>29.75</v>
      </c>
    </row>
    <row r="2754" spans="1:3" x14ac:dyDescent="0.3">
      <c r="A2754" s="98" t="s">
        <v>185</v>
      </c>
      <c r="B2754" s="98">
        <v>2013</v>
      </c>
      <c r="C2754" s="98">
        <v>30.08</v>
      </c>
    </row>
    <row r="2755" spans="1:3" x14ac:dyDescent="0.3">
      <c r="A2755" s="98" t="s">
        <v>185</v>
      </c>
      <c r="B2755" s="98">
        <v>2014</v>
      </c>
      <c r="C2755" s="98">
        <v>33.6</v>
      </c>
    </row>
    <row r="2756" spans="1:3" x14ac:dyDescent="0.3">
      <c r="A2756" s="98" t="s">
        <v>185</v>
      </c>
      <c r="B2756" s="98">
        <v>2015</v>
      </c>
      <c r="C2756" s="98">
        <v>45.9</v>
      </c>
    </row>
    <row r="2757" spans="1:3" x14ac:dyDescent="0.3">
      <c r="A2757" s="98" t="s">
        <v>185</v>
      </c>
      <c r="B2757" s="98">
        <v>2016</v>
      </c>
      <c r="C2757" s="98">
        <v>71.349999999999994</v>
      </c>
    </row>
    <row r="2758" spans="1:3" x14ac:dyDescent="0.3">
      <c r="A2758" s="98" t="s">
        <v>185</v>
      </c>
      <c r="B2758" s="98">
        <v>2017</v>
      </c>
      <c r="C2758" s="98">
        <v>59.02</v>
      </c>
    </row>
    <row r="2759" spans="1:3" x14ac:dyDescent="0.3">
      <c r="A2759" s="98" t="s">
        <v>185</v>
      </c>
      <c r="B2759" s="98">
        <v>2018</v>
      </c>
      <c r="C2759" s="98">
        <v>61.47</v>
      </c>
    </row>
    <row r="2760" spans="1:3" x14ac:dyDescent="0.3">
      <c r="A2760" s="98" t="s">
        <v>185</v>
      </c>
      <c r="B2760" s="98">
        <v>2019</v>
      </c>
      <c r="C2760" s="98">
        <v>61.47</v>
      </c>
    </row>
    <row r="2761" spans="1:3" x14ac:dyDescent="0.3">
      <c r="A2761" s="98" t="s">
        <v>185</v>
      </c>
      <c r="B2761" s="98">
        <v>2020</v>
      </c>
      <c r="C2761" s="98">
        <v>74.900000000000006</v>
      </c>
    </row>
    <row r="2762" spans="1:3" x14ac:dyDescent="0.3">
      <c r="A2762" s="98" t="s">
        <v>185</v>
      </c>
      <c r="B2762" s="98">
        <v>2021</v>
      </c>
      <c r="C2762" s="98">
        <v>63.83</v>
      </c>
    </row>
    <row r="2763" spans="1:3" x14ac:dyDescent="0.3">
      <c r="A2763" s="98" t="s">
        <v>185</v>
      </c>
      <c r="B2763" s="98">
        <v>2022</v>
      </c>
      <c r="C2763" s="98">
        <v>63.87</v>
      </c>
    </row>
    <row r="2764" spans="1:3" x14ac:dyDescent="0.3">
      <c r="A2764" s="98" t="s">
        <v>186</v>
      </c>
      <c r="B2764" s="98">
        <v>2001</v>
      </c>
      <c r="C2764" s="98">
        <v>6.8502999999999998</v>
      </c>
    </row>
    <row r="2765" spans="1:3" x14ac:dyDescent="0.3">
      <c r="A2765" s="98" t="s">
        <v>186</v>
      </c>
      <c r="B2765" s="98">
        <v>2002</v>
      </c>
      <c r="C2765" s="98">
        <v>6.3440000000000003</v>
      </c>
    </row>
    <row r="2766" spans="1:3" x14ac:dyDescent="0.3">
      <c r="A2766" s="98" t="s">
        <v>186</v>
      </c>
      <c r="B2766" s="98">
        <v>2003</v>
      </c>
      <c r="C2766" s="98">
        <v>5.8052999999999999</v>
      </c>
    </row>
    <row r="2767" spans="1:3" x14ac:dyDescent="0.3">
      <c r="A2767" s="98" t="s">
        <v>186</v>
      </c>
      <c r="B2767" s="98">
        <v>2004</v>
      </c>
      <c r="C2767" s="98">
        <v>5.5519999999999996</v>
      </c>
    </row>
    <row r="2768" spans="1:3" x14ac:dyDescent="0.3">
      <c r="A2768" s="98" t="s">
        <v>186</v>
      </c>
      <c r="B2768" s="98">
        <v>2005</v>
      </c>
      <c r="C2768" s="98">
        <v>5.9897</v>
      </c>
    </row>
    <row r="2769" spans="1:3" x14ac:dyDescent="0.3">
      <c r="A2769" s="98" t="s">
        <v>186</v>
      </c>
      <c r="B2769" s="98">
        <v>2006</v>
      </c>
      <c r="C2769" s="98">
        <v>5.7169999999999996</v>
      </c>
    </row>
    <row r="2770" spans="1:3" x14ac:dyDescent="0.3">
      <c r="A2770" s="98" t="s">
        <v>186</v>
      </c>
      <c r="B2770" s="98">
        <v>2007</v>
      </c>
      <c r="C2770" s="98">
        <v>5.4442000000000004</v>
      </c>
    </row>
    <row r="2771" spans="1:3" x14ac:dyDescent="0.3">
      <c r="A2771" s="98" t="s">
        <v>186</v>
      </c>
      <c r="B2771" s="98">
        <v>2008</v>
      </c>
      <c r="C2771" s="98">
        <v>5.5521000000000003</v>
      </c>
    </row>
    <row r="2772" spans="1:3" x14ac:dyDescent="0.3">
      <c r="A2772" s="98" t="s">
        <v>186</v>
      </c>
      <c r="B2772" s="98">
        <v>2009</v>
      </c>
      <c r="C2772" s="98">
        <v>5.5016999999999996</v>
      </c>
    </row>
    <row r="2773" spans="1:3" x14ac:dyDescent="0.3">
      <c r="A2773" s="98" t="s">
        <v>186</v>
      </c>
      <c r="B2773" s="98">
        <v>2010</v>
      </c>
      <c r="C2773" s="98">
        <v>5.5801999999999996</v>
      </c>
    </row>
    <row r="2774" spans="1:3" x14ac:dyDescent="0.3">
      <c r="A2774" s="98" t="s">
        <v>186</v>
      </c>
      <c r="B2774" s="98">
        <v>2011</v>
      </c>
      <c r="C2774" s="98">
        <v>5.6151999999999997</v>
      </c>
    </row>
    <row r="2775" spans="1:3" x14ac:dyDescent="0.3">
      <c r="A2775" s="98" t="s">
        <v>186</v>
      </c>
      <c r="B2775" s="98">
        <v>2012</v>
      </c>
      <c r="C2775" s="98">
        <v>855</v>
      </c>
    </row>
    <row r="2776" spans="1:3" x14ac:dyDescent="0.3">
      <c r="A2776" s="98" t="s">
        <v>186</v>
      </c>
      <c r="B2776" s="98">
        <v>2013</v>
      </c>
      <c r="C2776" s="98">
        <v>988</v>
      </c>
    </row>
    <row r="2777" spans="1:3" x14ac:dyDescent="0.3">
      <c r="A2777" s="98" t="s">
        <v>186</v>
      </c>
      <c r="B2777" s="98">
        <v>2014</v>
      </c>
      <c r="C2777" s="98">
        <v>1031.5</v>
      </c>
    </row>
    <row r="2778" spans="1:3" x14ac:dyDescent="0.3">
      <c r="A2778" s="98" t="s">
        <v>186</v>
      </c>
      <c r="B2778" s="98">
        <v>2015</v>
      </c>
      <c r="C2778" s="98">
        <v>1304</v>
      </c>
    </row>
    <row r="2779" spans="1:3" x14ac:dyDescent="0.3">
      <c r="A2779" s="98" t="s">
        <v>186</v>
      </c>
      <c r="B2779" s="98">
        <v>2016</v>
      </c>
      <c r="C2779" s="98">
        <v>1357.5</v>
      </c>
    </row>
    <row r="2780" spans="1:3" x14ac:dyDescent="0.3">
      <c r="A2780" s="98" t="s">
        <v>186</v>
      </c>
      <c r="B2780" s="98">
        <v>2017</v>
      </c>
      <c r="C2780" s="98">
        <v>1362</v>
      </c>
    </row>
    <row r="2781" spans="1:3" x14ac:dyDescent="0.3">
      <c r="A2781" s="98" t="s">
        <v>186</v>
      </c>
      <c r="B2781" s="98">
        <v>2018</v>
      </c>
      <c r="C2781" s="98">
        <v>1550</v>
      </c>
    </row>
    <row r="2782" spans="1:3" x14ac:dyDescent="0.3">
      <c r="A2782" s="98" t="s">
        <v>186</v>
      </c>
      <c r="B2782" s="98">
        <v>2019</v>
      </c>
      <c r="C2782" s="98">
        <v>1465.5</v>
      </c>
    </row>
    <row r="2783" spans="1:3" x14ac:dyDescent="0.3">
      <c r="A2783" s="98" t="s">
        <v>186</v>
      </c>
      <c r="B2783" s="98">
        <v>2020</v>
      </c>
      <c r="C2783" s="98">
        <v>1329.1</v>
      </c>
    </row>
    <row r="2784" spans="1:3" x14ac:dyDescent="0.3">
      <c r="A2784" s="98" t="s">
        <v>186</v>
      </c>
      <c r="B2784" s="98">
        <v>2021</v>
      </c>
    </row>
    <row r="2785" spans="1:3" x14ac:dyDescent="0.3">
      <c r="A2785" s="98" t="s">
        <v>186</v>
      </c>
      <c r="B2785" s="98">
        <v>2022</v>
      </c>
    </row>
    <row r="2786" spans="1:3" x14ac:dyDescent="0.3">
      <c r="A2786" s="98" t="s">
        <v>187</v>
      </c>
      <c r="B2786" s="98">
        <v>2001</v>
      </c>
      <c r="C2786" s="98">
        <v>12.1265</v>
      </c>
    </row>
    <row r="2787" spans="1:3" x14ac:dyDescent="0.3">
      <c r="A2787" s="98" t="s">
        <v>187</v>
      </c>
      <c r="B2787" s="98">
        <v>2002</v>
      </c>
      <c r="C2787" s="98">
        <v>8.64</v>
      </c>
    </row>
    <row r="2788" spans="1:3" x14ac:dyDescent="0.3">
      <c r="A2788" s="98" t="s">
        <v>187</v>
      </c>
      <c r="B2788" s="98">
        <v>2003</v>
      </c>
      <c r="C2788" s="98">
        <v>6.64</v>
      </c>
    </row>
    <row r="2789" spans="1:3" x14ac:dyDescent="0.3">
      <c r="A2789" s="98" t="s">
        <v>187</v>
      </c>
      <c r="B2789" s="98">
        <v>2004</v>
      </c>
      <c r="C2789" s="98">
        <v>5.63</v>
      </c>
    </row>
    <row r="2790" spans="1:3" x14ac:dyDescent="0.3">
      <c r="A2790" s="98" t="s">
        <v>187</v>
      </c>
      <c r="B2790" s="98">
        <v>2005</v>
      </c>
      <c r="C2790" s="98">
        <v>6.3250000000000002</v>
      </c>
    </row>
    <row r="2791" spans="1:3" x14ac:dyDescent="0.3">
      <c r="A2791" s="98" t="s">
        <v>187</v>
      </c>
      <c r="B2791" s="98">
        <v>2006</v>
      </c>
      <c r="C2791" s="98">
        <v>6.97</v>
      </c>
    </row>
    <row r="2792" spans="1:3" x14ac:dyDescent="0.3">
      <c r="A2792" s="98" t="s">
        <v>187</v>
      </c>
      <c r="B2792" s="98">
        <v>2007</v>
      </c>
      <c r="C2792" s="98">
        <v>6.81</v>
      </c>
    </row>
    <row r="2793" spans="1:3" x14ac:dyDescent="0.3">
      <c r="A2793" s="98" t="s">
        <v>187</v>
      </c>
      <c r="B2793" s="98">
        <v>2008</v>
      </c>
      <c r="C2793" s="98">
        <v>9.3049999999999997</v>
      </c>
    </row>
    <row r="2794" spans="1:3" x14ac:dyDescent="0.3">
      <c r="A2794" s="98" t="s">
        <v>187</v>
      </c>
      <c r="B2794" s="98">
        <v>2009</v>
      </c>
      <c r="C2794" s="98">
        <v>7.38</v>
      </c>
    </row>
    <row r="2795" spans="1:3" x14ac:dyDescent="0.3">
      <c r="A2795" s="98" t="s">
        <v>187</v>
      </c>
      <c r="B2795" s="98">
        <v>2010</v>
      </c>
      <c r="C2795" s="98">
        <v>6.6315999999999997</v>
      </c>
    </row>
    <row r="2796" spans="1:3" x14ac:dyDescent="0.3">
      <c r="A2796" s="98" t="s">
        <v>187</v>
      </c>
      <c r="B2796" s="98">
        <v>2011</v>
      </c>
      <c r="C2796" s="98">
        <v>8.1428999999999991</v>
      </c>
    </row>
    <row r="2797" spans="1:3" x14ac:dyDescent="0.3">
      <c r="A2797" s="98" t="s">
        <v>187</v>
      </c>
      <c r="B2797" s="98">
        <v>2012</v>
      </c>
      <c r="C2797" s="98">
        <v>8.5011500000000009</v>
      </c>
    </row>
    <row r="2798" spans="1:3" x14ac:dyDescent="0.3">
      <c r="A2798" s="98" t="s">
        <v>187</v>
      </c>
      <c r="B2798" s="98">
        <v>2013</v>
      </c>
      <c r="C2798" s="98">
        <v>10.489850000000001</v>
      </c>
    </row>
    <row r="2799" spans="1:3" x14ac:dyDescent="0.3">
      <c r="A2799" s="98" t="s">
        <v>187</v>
      </c>
      <c r="B2799" s="98">
        <v>2014</v>
      </c>
      <c r="C2799" s="98">
        <v>11.58095</v>
      </c>
    </row>
    <row r="2800" spans="1:3" x14ac:dyDescent="0.3">
      <c r="A2800" s="98" t="s">
        <v>187</v>
      </c>
      <c r="B2800" s="98">
        <v>2015</v>
      </c>
      <c r="C2800" s="98">
        <v>15.545</v>
      </c>
    </row>
    <row r="2801" spans="1:3" x14ac:dyDescent="0.3">
      <c r="A2801" s="98" t="s">
        <v>187</v>
      </c>
      <c r="B2801" s="98">
        <v>2016</v>
      </c>
      <c r="C2801" s="98">
        <v>13.623950000000001</v>
      </c>
    </row>
    <row r="2802" spans="1:3" x14ac:dyDescent="0.3">
      <c r="A2802" s="98" t="s">
        <v>187</v>
      </c>
      <c r="B2802" s="98">
        <v>2017</v>
      </c>
      <c r="C2802" s="98">
        <v>12.393000000000001</v>
      </c>
    </row>
    <row r="2803" spans="1:3" x14ac:dyDescent="0.3">
      <c r="A2803" s="98" t="s">
        <v>187</v>
      </c>
      <c r="B2803" s="98">
        <v>2018</v>
      </c>
      <c r="C2803" s="98">
        <v>14.43085</v>
      </c>
    </row>
    <row r="2804" spans="1:3" x14ac:dyDescent="0.3">
      <c r="A2804" s="98" t="s">
        <v>187</v>
      </c>
      <c r="B2804" s="98">
        <v>2019</v>
      </c>
      <c r="C2804" s="98">
        <v>14.12345</v>
      </c>
    </row>
    <row r="2805" spans="1:3" x14ac:dyDescent="0.3">
      <c r="A2805" s="98" t="s">
        <v>187</v>
      </c>
      <c r="B2805" s="98">
        <v>2020</v>
      </c>
      <c r="C2805" s="98">
        <v>14.62175</v>
      </c>
    </row>
    <row r="2806" spans="1:3" x14ac:dyDescent="0.3">
      <c r="A2806" s="98" t="s">
        <v>187</v>
      </c>
      <c r="B2806" s="98">
        <v>2021</v>
      </c>
      <c r="C2806" s="98">
        <v>15.90645</v>
      </c>
    </row>
    <row r="2807" spans="1:3" x14ac:dyDescent="0.3">
      <c r="A2807" s="98" t="s">
        <v>187</v>
      </c>
      <c r="B2807" s="98">
        <v>2022</v>
      </c>
      <c r="C2807" s="98">
        <v>16.96245</v>
      </c>
    </row>
    <row r="2808" spans="1:3" x14ac:dyDescent="0.3">
      <c r="A2808" s="98" t="s">
        <v>188</v>
      </c>
      <c r="B2808" s="98">
        <v>2001</v>
      </c>
      <c r="C2808" s="98">
        <v>1.9584801999999999</v>
      </c>
    </row>
    <row r="2809" spans="1:3" x14ac:dyDescent="0.3">
      <c r="A2809" s="98" t="s">
        <v>188</v>
      </c>
      <c r="B2809" s="98">
        <v>2002</v>
      </c>
      <c r="C2809" s="98">
        <v>1.7661604</v>
      </c>
    </row>
    <row r="2810" spans="1:3" x14ac:dyDescent="0.3">
      <c r="A2810" s="98" t="s">
        <v>188</v>
      </c>
      <c r="B2810" s="98">
        <v>2003</v>
      </c>
      <c r="C2810" s="98">
        <v>1.3333333000000001</v>
      </c>
    </row>
    <row r="2811" spans="1:3" x14ac:dyDescent="0.3">
      <c r="A2811" s="98" t="s">
        <v>188</v>
      </c>
      <c r="B2811" s="98">
        <v>2004</v>
      </c>
      <c r="C2811" s="98">
        <v>1.2836970000000001</v>
      </c>
    </row>
    <row r="2812" spans="1:3" x14ac:dyDescent="0.3">
      <c r="A2812" s="98" t="s">
        <v>188</v>
      </c>
      <c r="B2812" s="98">
        <v>2005</v>
      </c>
      <c r="C2812" s="98">
        <v>1.3629549000000001</v>
      </c>
    </row>
    <row r="2813" spans="1:3" x14ac:dyDescent="0.3">
      <c r="A2813" s="98" t="s">
        <v>188</v>
      </c>
      <c r="B2813" s="98">
        <v>2006</v>
      </c>
      <c r="C2813" s="98">
        <v>1.2637432</v>
      </c>
    </row>
    <row r="2814" spans="1:3" x14ac:dyDescent="0.3">
      <c r="A2814" s="98" t="s">
        <v>188</v>
      </c>
      <c r="B2814" s="98">
        <v>2007</v>
      </c>
      <c r="C2814" s="98">
        <v>1.1343013</v>
      </c>
    </row>
    <row r="2815" spans="1:3" x14ac:dyDescent="0.3">
      <c r="A2815" s="98" t="s">
        <v>188</v>
      </c>
      <c r="B2815" s="98">
        <v>2008</v>
      </c>
      <c r="C2815" s="98">
        <v>1.4434180000000001</v>
      </c>
    </row>
    <row r="2816" spans="1:3" x14ac:dyDescent="0.3">
      <c r="A2816" s="98" t="s">
        <v>188</v>
      </c>
      <c r="B2816" s="98">
        <v>2009</v>
      </c>
      <c r="C2816" s="98">
        <v>1.1149515000000001</v>
      </c>
    </row>
    <row r="2817" spans="1:3" x14ac:dyDescent="0.3">
      <c r="A2817" s="98" t="s">
        <v>188</v>
      </c>
      <c r="B2817" s="98">
        <v>2010</v>
      </c>
      <c r="C2817" s="98">
        <v>0.98396143000000003</v>
      </c>
    </row>
    <row r="2818" spans="1:3" x14ac:dyDescent="0.3">
      <c r="A2818" s="98" t="s">
        <v>188</v>
      </c>
      <c r="B2818" s="98">
        <v>2011</v>
      </c>
      <c r="C2818" s="98">
        <v>0.98463962000000005</v>
      </c>
    </row>
    <row r="2819" spans="1:3" x14ac:dyDescent="0.3">
      <c r="A2819" s="98" t="s">
        <v>188</v>
      </c>
      <c r="B2819" s="98">
        <v>2012</v>
      </c>
      <c r="C2819" s="98">
        <v>0.96107640999999999</v>
      </c>
    </row>
    <row r="2820" spans="1:3" x14ac:dyDescent="0.3">
      <c r="A2820" s="98" t="s">
        <v>188</v>
      </c>
      <c r="B2820" s="98">
        <v>2013</v>
      </c>
      <c r="C2820" s="98">
        <v>1.1280315999999999</v>
      </c>
    </row>
    <row r="2821" spans="1:3" x14ac:dyDescent="0.3">
      <c r="A2821" s="98" t="s">
        <v>188</v>
      </c>
      <c r="B2821" s="98">
        <v>2014</v>
      </c>
      <c r="C2821" s="98">
        <v>1.2192148</v>
      </c>
    </row>
    <row r="2822" spans="1:3" x14ac:dyDescent="0.3">
      <c r="A2822" s="98" t="s">
        <v>188</v>
      </c>
      <c r="B2822" s="98">
        <v>2015</v>
      </c>
      <c r="C2822" s="98">
        <v>1.368738</v>
      </c>
    </row>
    <row r="2823" spans="1:3" x14ac:dyDescent="0.3">
      <c r="A2823" s="98" t="s">
        <v>188</v>
      </c>
      <c r="B2823" s="98">
        <v>2016</v>
      </c>
      <c r="C2823" s="98">
        <v>1.3819790000000001</v>
      </c>
    </row>
    <row r="2824" spans="1:3" x14ac:dyDescent="0.3">
      <c r="A2824" s="98" t="s">
        <v>188</v>
      </c>
      <c r="B2824" s="98">
        <v>2017</v>
      </c>
      <c r="C2824" s="98">
        <v>1.2820513</v>
      </c>
    </row>
    <row r="2825" spans="1:3" x14ac:dyDescent="0.3">
      <c r="A2825" s="98" t="s">
        <v>188</v>
      </c>
      <c r="B2825" s="98">
        <v>2018</v>
      </c>
      <c r="C2825" s="98">
        <v>1.4168320000000001</v>
      </c>
    </row>
    <row r="2826" spans="1:3" x14ac:dyDescent="0.3">
      <c r="A2826" s="98" t="s">
        <v>188</v>
      </c>
      <c r="B2826" s="98">
        <v>2019</v>
      </c>
      <c r="C2826" s="98">
        <v>1.4273480000000001</v>
      </c>
    </row>
    <row r="2827" spans="1:3" x14ac:dyDescent="0.3">
      <c r="A2827" s="98" t="s">
        <v>188</v>
      </c>
      <c r="B2827" s="98">
        <v>2020</v>
      </c>
      <c r="C2827" s="98">
        <v>1.2983640999999999</v>
      </c>
    </row>
    <row r="2828" spans="1:3" x14ac:dyDescent="0.3">
      <c r="A2828" s="98" t="s">
        <v>188</v>
      </c>
      <c r="B2828" s="98">
        <v>2021</v>
      </c>
      <c r="C2828" s="98">
        <v>1.3781698</v>
      </c>
    </row>
    <row r="2829" spans="1:3" x14ac:dyDescent="0.3">
      <c r="A2829" s="98" t="s">
        <v>188</v>
      </c>
      <c r="B2829" s="98">
        <v>2022</v>
      </c>
      <c r="C2829" s="98">
        <v>1.4760148</v>
      </c>
    </row>
    <row r="2830" spans="1:3" x14ac:dyDescent="0.3">
      <c r="A2830" s="98" t="s">
        <v>189</v>
      </c>
      <c r="B2830" s="98">
        <v>2001</v>
      </c>
      <c r="C2830" s="98">
        <v>76.474999999999994</v>
      </c>
    </row>
    <row r="2831" spans="1:3" x14ac:dyDescent="0.3">
      <c r="A2831" s="98" t="s">
        <v>189</v>
      </c>
      <c r="B2831" s="98">
        <v>2002</v>
      </c>
      <c r="C2831" s="98">
        <v>78.3</v>
      </c>
    </row>
    <row r="2832" spans="1:3" x14ac:dyDescent="0.3">
      <c r="A2832" s="98" t="s">
        <v>189</v>
      </c>
      <c r="B2832" s="98">
        <v>2003</v>
      </c>
      <c r="C2832" s="98">
        <v>74.040000000000006</v>
      </c>
    </row>
    <row r="2833" spans="1:3" x14ac:dyDescent="0.3">
      <c r="A2833" s="98" t="s">
        <v>189</v>
      </c>
      <c r="B2833" s="98">
        <v>2004</v>
      </c>
      <c r="C2833" s="98">
        <v>71.8</v>
      </c>
    </row>
    <row r="2834" spans="1:3" x14ac:dyDescent="0.3">
      <c r="A2834" s="98" t="s">
        <v>189</v>
      </c>
      <c r="B2834" s="98">
        <v>2005</v>
      </c>
      <c r="C2834" s="98">
        <v>74.05</v>
      </c>
    </row>
    <row r="2835" spans="1:3" x14ac:dyDescent="0.3">
      <c r="A2835" s="98" t="s">
        <v>189</v>
      </c>
      <c r="B2835" s="98">
        <v>2006</v>
      </c>
      <c r="C2835" s="98">
        <v>71.099999999999994</v>
      </c>
    </row>
    <row r="2836" spans="1:3" x14ac:dyDescent="0.3">
      <c r="A2836" s="98" t="s">
        <v>189</v>
      </c>
      <c r="B2836" s="98">
        <v>2007</v>
      </c>
      <c r="C2836" s="98">
        <v>63.55</v>
      </c>
    </row>
    <row r="2837" spans="1:3" x14ac:dyDescent="0.3">
      <c r="A2837" s="98" t="s">
        <v>189</v>
      </c>
      <c r="B2837" s="98">
        <v>2008</v>
      </c>
      <c r="C2837" s="98">
        <v>77.650000000000006</v>
      </c>
    </row>
    <row r="2838" spans="1:3" x14ac:dyDescent="0.3">
      <c r="A2838" s="98" t="s">
        <v>189</v>
      </c>
      <c r="B2838" s="98">
        <v>2009</v>
      </c>
      <c r="C2838" s="98">
        <v>74.44</v>
      </c>
    </row>
    <row r="2839" spans="1:3" x14ac:dyDescent="0.3">
      <c r="A2839" s="98" t="s">
        <v>189</v>
      </c>
      <c r="B2839" s="98">
        <v>2010</v>
      </c>
      <c r="C2839" s="98">
        <v>71.650000000000006</v>
      </c>
    </row>
    <row r="2840" spans="1:3" x14ac:dyDescent="0.3">
      <c r="A2840" s="98" t="s">
        <v>189</v>
      </c>
      <c r="B2840" s="98">
        <v>2011</v>
      </c>
      <c r="C2840" s="98">
        <v>85.51</v>
      </c>
    </row>
    <row r="2841" spans="1:3" x14ac:dyDescent="0.3">
      <c r="A2841" s="98" t="s">
        <v>189</v>
      </c>
      <c r="B2841" s="98">
        <v>2012</v>
      </c>
      <c r="C2841" s="98">
        <v>86.91</v>
      </c>
    </row>
    <row r="2842" spans="1:3" x14ac:dyDescent="0.3">
      <c r="A2842" s="98" t="s">
        <v>189</v>
      </c>
      <c r="B2842" s="98">
        <v>2013</v>
      </c>
      <c r="C2842" s="98">
        <v>99.41</v>
      </c>
    </row>
    <row r="2843" spans="1:3" x14ac:dyDescent="0.3">
      <c r="A2843" s="98" t="s">
        <v>189</v>
      </c>
      <c r="B2843" s="98">
        <v>2014</v>
      </c>
      <c r="C2843" s="98">
        <v>99.67</v>
      </c>
    </row>
    <row r="2844" spans="1:3" x14ac:dyDescent="0.3">
      <c r="A2844" s="98" t="s">
        <v>189</v>
      </c>
      <c r="B2844" s="98">
        <v>2015</v>
      </c>
      <c r="C2844" s="98">
        <v>107.3</v>
      </c>
    </row>
    <row r="2845" spans="1:3" x14ac:dyDescent="0.3">
      <c r="A2845" s="98" t="s">
        <v>189</v>
      </c>
      <c r="B2845" s="98">
        <v>2016</v>
      </c>
      <c r="C2845" s="98">
        <v>108</v>
      </c>
    </row>
    <row r="2846" spans="1:3" x14ac:dyDescent="0.3">
      <c r="A2846" s="98" t="s">
        <v>189</v>
      </c>
      <c r="B2846" s="98">
        <v>2017</v>
      </c>
      <c r="C2846" s="98">
        <v>102.95</v>
      </c>
    </row>
    <row r="2847" spans="1:3" x14ac:dyDescent="0.3">
      <c r="A2847" s="98" t="s">
        <v>189</v>
      </c>
      <c r="B2847" s="98">
        <v>2018</v>
      </c>
      <c r="C2847" s="98">
        <v>115.04</v>
      </c>
    </row>
    <row r="2848" spans="1:3" x14ac:dyDescent="0.3">
      <c r="A2848" s="98" t="s">
        <v>189</v>
      </c>
      <c r="B2848" s="98">
        <v>2019</v>
      </c>
      <c r="C2848" s="98">
        <v>113.3</v>
      </c>
    </row>
    <row r="2849" spans="1:3" x14ac:dyDescent="0.3">
      <c r="A2849" s="98" t="s">
        <v>189</v>
      </c>
      <c r="B2849" s="98">
        <v>2020</v>
      </c>
      <c r="C2849" s="98">
        <v>117.83</v>
      </c>
    </row>
    <row r="2850" spans="1:3" x14ac:dyDescent="0.3">
      <c r="A2850" s="98" t="s">
        <v>189</v>
      </c>
      <c r="B2850" s="98">
        <v>2021</v>
      </c>
      <c r="C2850" s="98">
        <v>121.39</v>
      </c>
    </row>
    <row r="2851" spans="1:3" x14ac:dyDescent="0.3">
      <c r="A2851" s="98" t="s">
        <v>189</v>
      </c>
      <c r="B2851" s="98">
        <v>2022</v>
      </c>
      <c r="C2851" s="98">
        <v>131.94</v>
      </c>
    </row>
    <row r="2852" spans="1:3" x14ac:dyDescent="0.3">
      <c r="A2852" s="98" t="s">
        <v>190</v>
      </c>
      <c r="B2852" s="98">
        <v>2001</v>
      </c>
      <c r="C2852" s="98">
        <v>1.79</v>
      </c>
    </row>
    <row r="2853" spans="1:3" x14ac:dyDescent="0.3">
      <c r="A2853" s="98" t="s">
        <v>190</v>
      </c>
      <c r="B2853" s="98">
        <v>2002</v>
      </c>
      <c r="C2853" s="98">
        <v>1.79</v>
      </c>
    </row>
    <row r="2854" spans="1:3" x14ac:dyDescent="0.3">
      <c r="A2854" s="98" t="s">
        <v>190</v>
      </c>
      <c r="B2854" s="98">
        <v>2003</v>
      </c>
      <c r="C2854" s="98">
        <v>1.79</v>
      </c>
    </row>
    <row r="2855" spans="1:3" x14ac:dyDescent="0.3">
      <c r="A2855" s="98" t="s">
        <v>190</v>
      </c>
      <c r="B2855" s="98">
        <v>2004</v>
      </c>
      <c r="C2855" s="98">
        <v>1.79</v>
      </c>
    </row>
    <row r="2856" spans="1:3" x14ac:dyDescent="0.3">
      <c r="A2856" s="98" t="s">
        <v>190</v>
      </c>
      <c r="B2856" s="98">
        <v>2005</v>
      </c>
      <c r="C2856" s="98">
        <v>1.79</v>
      </c>
    </row>
    <row r="2857" spans="1:3" x14ac:dyDescent="0.3">
      <c r="A2857" s="98" t="s">
        <v>190</v>
      </c>
      <c r="B2857" s="98">
        <v>2006</v>
      </c>
      <c r="C2857" s="98">
        <v>1.79</v>
      </c>
    </row>
    <row r="2858" spans="1:3" x14ac:dyDescent="0.3">
      <c r="A2858" s="98" t="s">
        <v>190</v>
      </c>
      <c r="B2858" s="98">
        <v>2007</v>
      </c>
      <c r="C2858" s="98">
        <v>1.79</v>
      </c>
    </row>
    <row r="2859" spans="1:3" x14ac:dyDescent="0.3">
      <c r="A2859" s="98" t="s">
        <v>190</v>
      </c>
      <c r="B2859" s="98">
        <v>2008</v>
      </c>
      <c r="C2859" s="98">
        <v>1.79</v>
      </c>
    </row>
    <row r="2860" spans="1:3" x14ac:dyDescent="0.3">
      <c r="A2860" s="98" t="s">
        <v>190</v>
      </c>
      <c r="B2860" s="98">
        <v>2009</v>
      </c>
      <c r="C2860" s="98">
        <v>1.79</v>
      </c>
    </row>
    <row r="2861" spans="1:3" x14ac:dyDescent="0.3">
      <c r="A2861" s="98" t="s">
        <v>190</v>
      </c>
      <c r="B2861" s="98">
        <v>2010</v>
      </c>
    </row>
    <row r="2862" spans="1:3" x14ac:dyDescent="0.3">
      <c r="A2862" s="98" t="s">
        <v>190</v>
      </c>
      <c r="B2862" s="98">
        <v>2011</v>
      </c>
    </row>
    <row r="2863" spans="1:3" x14ac:dyDescent="0.3">
      <c r="A2863" s="98" t="s">
        <v>190</v>
      </c>
      <c r="B2863" s="98">
        <v>2012</v>
      </c>
    </row>
    <row r="2864" spans="1:3" x14ac:dyDescent="0.3">
      <c r="A2864" s="98" t="s">
        <v>190</v>
      </c>
      <c r="B2864" s="98">
        <v>2013</v>
      </c>
    </row>
    <row r="2865" spans="1:3" x14ac:dyDescent="0.3">
      <c r="A2865" s="98" t="s">
        <v>190</v>
      </c>
      <c r="B2865" s="98">
        <v>2014</v>
      </c>
    </row>
    <row r="2866" spans="1:3" x14ac:dyDescent="0.3">
      <c r="A2866" s="98" t="s">
        <v>190</v>
      </c>
      <c r="B2866" s="98">
        <v>2015</v>
      </c>
    </row>
    <row r="2867" spans="1:3" x14ac:dyDescent="0.3">
      <c r="A2867" s="98" t="s">
        <v>190</v>
      </c>
      <c r="B2867" s="98">
        <v>2016</v>
      </c>
    </row>
    <row r="2868" spans="1:3" x14ac:dyDescent="0.3">
      <c r="A2868" s="98" t="s">
        <v>190</v>
      </c>
      <c r="B2868" s="98">
        <v>2017</v>
      </c>
    </row>
    <row r="2869" spans="1:3" x14ac:dyDescent="0.3">
      <c r="A2869" s="98" t="s">
        <v>190</v>
      </c>
      <c r="B2869" s="98">
        <v>2018</v>
      </c>
    </row>
    <row r="2870" spans="1:3" x14ac:dyDescent="0.3">
      <c r="A2870" s="98" t="s">
        <v>190</v>
      </c>
      <c r="B2870" s="98">
        <v>2019</v>
      </c>
    </row>
    <row r="2871" spans="1:3" x14ac:dyDescent="0.3">
      <c r="A2871" s="98" t="s">
        <v>190</v>
      </c>
      <c r="B2871" s="98">
        <v>2020</v>
      </c>
    </row>
    <row r="2872" spans="1:3" x14ac:dyDescent="0.3">
      <c r="A2872" s="98" t="s">
        <v>190</v>
      </c>
      <c r="B2872" s="98">
        <v>2021</v>
      </c>
    </row>
    <row r="2873" spans="1:3" x14ac:dyDescent="0.3">
      <c r="A2873" s="98" t="s">
        <v>190</v>
      </c>
      <c r="B2873" s="98">
        <v>2022</v>
      </c>
    </row>
    <row r="2874" spans="1:3" x14ac:dyDescent="0.3">
      <c r="A2874" s="98" t="s">
        <v>191</v>
      </c>
      <c r="B2874" s="98">
        <v>2001</v>
      </c>
      <c r="C2874" s="98">
        <v>135.40418</v>
      </c>
    </row>
    <row r="2875" spans="1:3" x14ac:dyDescent="0.3">
      <c r="A2875" s="98" t="s">
        <v>191</v>
      </c>
      <c r="B2875" s="98">
        <v>2002</v>
      </c>
      <c r="C2875" s="98">
        <v>113.79012</v>
      </c>
    </row>
    <row r="2876" spans="1:3" x14ac:dyDescent="0.3">
      <c r="A2876" s="98" t="s">
        <v>191</v>
      </c>
      <c r="B2876" s="98">
        <v>2003</v>
      </c>
      <c r="C2876" s="98">
        <v>94.482740000000007</v>
      </c>
    </row>
    <row r="2877" spans="1:3" x14ac:dyDescent="0.3">
      <c r="A2877" s="98" t="s">
        <v>191</v>
      </c>
      <c r="B2877" s="98">
        <v>2004</v>
      </c>
      <c r="C2877" s="98">
        <v>87.608619000000004</v>
      </c>
    </row>
    <row r="2878" spans="1:3" x14ac:dyDescent="0.3">
      <c r="A2878" s="98" t="s">
        <v>191</v>
      </c>
      <c r="B2878" s="98">
        <v>2005</v>
      </c>
      <c r="C2878" s="98">
        <v>101.15428</v>
      </c>
    </row>
    <row r="2879" spans="1:3" x14ac:dyDescent="0.3">
      <c r="A2879" s="98" t="s">
        <v>191</v>
      </c>
      <c r="B2879" s="98">
        <v>2006</v>
      </c>
      <c r="C2879" s="98">
        <v>90.608732000000003</v>
      </c>
    </row>
    <row r="2880" spans="1:3" x14ac:dyDescent="0.3">
      <c r="A2880" s="98" t="s">
        <v>191</v>
      </c>
      <c r="B2880" s="98">
        <v>2007</v>
      </c>
      <c r="C2880" s="98">
        <v>81.062224000000001</v>
      </c>
    </row>
    <row r="2881" spans="1:3" x14ac:dyDescent="0.3">
      <c r="A2881" s="98" t="s">
        <v>191</v>
      </c>
      <c r="B2881" s="98">
        <v>2008</v>
      </c>
      <c r="C2881" s="98">
        <v>85.745276000000004</v>
      </c>
    </row>
    <row r="2882" spans="1:3" x14ac:dyDescent="0.3">
      <c r="A2882" s="98" t="s">
        <v>191</v>
      </c>
      <c r="B2882" s="98">
        <v>2009</v>
      </c>
      <c r="C2882" s="98">
        <v>82.834721999999999</v>
      </c>
    </row>
    <row r="2883" spans="1:3" x14ac:dyDescent="0.3">
      <c r="A2883" s="98" t="s">
        <v>191</v>
      </c>
      <c r="B2883" s="98">
        <v>2010</v>
      </c>
      <c r="C2883" s="98">
        <v>89.306764999999999</v>
      </c>
    </row>
    <row r="2884" spans="1:3" x14ac:dyDescent="0.3">
      <c r="A2884" s="98" t="s">
        <v>191</v>
      </c>
      <c r="B2884" s="98">
        <v>2011</v>
      </c>
      <c r="C2884" s="98">
        <v>92.226370000000003</v>
      </c>
    </row>
    <row r="2885" spans="1:3" x14ac:dyDescent="0.3">
      <c r="A2885" s="98" t="s">
        <v>191</v>
      </c>
      <c r="B2885" s="98">
        <v>2012</v>
      </c>
      <c r="C2885" s="98">
        <v>90.443914000000007</v>
      </c>
    </row>
    <row r="2886" spans="1:3" x14ac:dyDescent="0.3">
      <c r="A2886" s="98" t="s">
        <v>191</v>
      </c>
      <c r="B2886" s="98">
        <v>2013</v>
      </c>
      <c r="C2886" s="98">
        <v>86.528677999999999</v>
      </c>
    </row>
    <row r="2887" spans="1:3" x14ac:dyDescent="0.3">
      <c r="A2887" s="98" t="s">
        <v>191</v>
      </c>
      <c r="B2887" s="98">
        <v>2014</v>
      </c>
      <c r="C2887" s="98">
        <v>98.288196999999997</v>
      </c>
    </row>
    <row r="2888" spans="1:3" x14ac:dyDescent="0.3">
      <c r="A2888" s="98" t="s">
        <v>191</v>
      </c>
      <c r="B2888" s="98">
        <v>2015</v>
      </c>
      <c r="C2888" s="98">
        <v>109.60935000000001</v>
      </c>
    </row>
    <row r="2889" spans="1:3" x14ac:dyDescent="0.3">
      <c r="A2889" s="98" t="s">
        <v>191</v>
      </c>
      <c r="B2889" s="98">
        <v>2016</v>
      </c>
      <c r="C2889" s="98">
        <v>113.20719</v>
      </c>
    </row>
    <row r="2890" spans="1:3" x14ac:dyDescent="0.3">
      <c r="A2890" s="98" t="s">
        <v>191</v>
      </c>
      <c r="B2890" s="98">
        <v>2017</v>
      </c>
      <c r="C2890" s="98">
        <v>99.501125999999999</v>
      </c>
    </row>
    <row r="2891" spans="1:3" x14ac:dyDescent="0.3">
      <c r="A2891" s="98" t="s">
        <v>191</v>
      </c>
      <c r="B2891" s="98">
        <v>2018</v>
      </c>
      <c r="C2891" s="98">
        <v>104.21983</v>
      </c>
    </row>
    <row r="2892" spans="1:3" x14ac:dyDescent="0.3">
      <c r="A2892" s="98" t="s">
        <v>191</v>
      </c>
      <c r="B2892" s="98">
        <v>2019</v>
      </c>
      <c r="C2892" s="98">
        <v>106.22369999999999</v>
      </c>
    </row>
    <row r="2893" spans="1:3" x14ac:dyDescent="0.3">
      <c r="A2893" s="98" t="s">
        <v>191</v>
      </c>
      <c r="B2893" s="98">
        <v>2020</v>
      </c>
      <c r="C2893" s="98">
        <v>97.246924000000007</v>
      </c>
    </row>
    <row r="2894" spans="1:3" x14ac:dyDescent="0.3">
      <c r="A2894" s="98" t="s">
        <v>191</v>
      </c>
      <c r="B2894" s="98">
        <v>2021</v>
      </c>
      <c r="C2894" s="98">
        <v>105.36085</v>
      </c>
    </row>
    <row r="2895" spans="1:3" x14ac:dyDescent="0.3">
      <c r="A2895" s="98" t="s">
        <v>191</v>
      </c>
      <c r="B2895" s="98">
        <v>2022</v>
      </c>
      <c r="C2895" s="98">
        <v>111.88046</v>
      </c>
    </row>
    <row r="2896" spans="1:3" x14ac:dyDescent="0.3">
      <c r="A2896" s="98" t="s">
        <v>192</v>
      </c>
      <c r="B2896" s="98">
        <v>2001</v>
      </c>
      <c r="C2896" s="98">
        <v>2.4067389000000001</v>
      </c>
    </row>
    <row r="2897" spans="1:3" x14ac:dyDescent="0.3">
      <c r="A2897" s="98" t="s">
        <v>192</v>
      </c>
      <c r="B2897" s="98">
        <v>2002</v>
      </c>
      <c r="C2897" s="98">
        <v>1.8993351999999999</v>
      </c>
    </row>
    <row r="2898" spans="1:3" x14ac:dyDescent="0.3">
      <c r="A2898" s="98" t="s">
        <v>192</v>
      </c>
      <c r="B2898" s="98">
        <v>2003</v>
      </c>
      <c r="C2898" s="98">
        <v>1.5384614999999999</v>
      </c>
    </row>
    <row r="2899" spans="1:3" x14ac:dyDescent="0.3">
      <c r="A2899" s="98" t="s">
        <v>192</v>
      </c>
      <c r="B2899" s="98">
        <v>2004</v>
      </c>
      <c r="C2899" s="98">
        <v>1.3919821999999999</v>
      </c>
    </row>
    <row r="2900" spans="1:3" x14ac:dyDescent="0.3">
      <c r="A2900" s="98" t="s">
        <v>192</v>
      </c>
      <c r="B2900" s="98">
        <v>2005</v>
      </c>
      <c r="C2900" s="98">
        <v>1.4675667999999999</v>
      </c>
    </row>
    <row r="2901" spans="1:3" x14ac:dyDescent="0.3">
      <c r="A2901" s="98" t="s">
        <v>192</v>
      </c>
      <c r="B2901" s="98">
        <v>2006</v>
      </c>
      <c r="C2901" s="98">
        <v>1.4166312999999999</v>
      </c>
    </row>
    <row r="2902" spans="1:3" x14ac:dyDescent="0.3">
      <c r="A2902" s="98" t="s">
        <v>192</v>
      </c>
      <c r="B2902" s="98">
        <v>2007</v>
      </c>
      <c r="C2902" s="98">
        <v>1.2919897</v>
      </c>
    </row>
    <row r="2903" spans="1:3" x14ac:dyDescent="0.3">
      <c r="A2903" s="98" t="s">
        <v>192</v>
      </c>
      <c r="B2903" s="98">
        <v>2008</v>
      </c>
      <c r="C2903" s="98">
        <v>1.7286085</v>
      </c>
    </row>
    <row r="2904" spans="1:3" x14ac:dyDescent="0.3">
      <c r="A2904" s="98" t="s">
        <v>192</v>
      </c>
      <c r="B2904" s="98">
        <v>2009</v>
      </c>
      <c r="C2904" s="98">
        <v>1.3856173000000001</v>
      </c>
    </row>
    <row r="2905" spans="1:3" x14ac:dyDescent="0.3">
      <c r="A2905" s="98" t="s">
        <v>192</v>
      </c>
      <c r="B2905" s="98">
        <v>2010</v>
      </c>
      <c r="C2905" s="98">
        <v>1.2976901000000001</v>
      </c>
    </row>
    <row r="2906" spans="1:3" x14ac:dyDescent="0.3">
      <c r="A2906" s="98" t="s">
        <v>192</v>
      </c>
      <c r="B2906" s="98">
        <v>2011</v>
      </c>
      <c r="C2906" s="98">
        <v>1.2965123999999999</v>
      </c>
    </row>
    <row r="2907" spans="1:3" x14ac:dyDescent="0.3">
      <c r="A2907" s="98" t="s">
        <v>192</v>
      </c>
      <c r="B2907" s="98">
        <v>2012</v>
      </c>
      <c r="C2907" s="98">
        <v>1.2191405</v>
      </c>
    </row>
    <row r="2908" spans="1:3" x14ac:dyDescent="0.3">
      <c r="A2908" s="98" t="s">
        <v>192</v>
      </c>
      <c r="B2908" s="98">
        <v>2013</v>
      </c>
      <c r="C2908" s="98">
        <v>1.2192148</v>
      </c>
    </row>
    <row r="2909" spans="1:3" x14ac:dyDescent="0.3">
      <c r="A2909" s="98" t="s">
        <v>192</v>
      </c>
      <c r="B2909" s="98">
        <v>2014</v>
      </c>
      <c r="C2909" s="98">
        <v>1.2773022999999999</v>
      </c>
    </row>
    <row r="2910" spans="1:3" x14ac:dyDescent="0.3">
      <c r="A2910" s="98" t="s">
        <v>192</v>
      </c>
      <c r="B2910" s="98">
        <v>2015</v>
      </c>
      <c r="C2910" s="98">
        <v>1.4602804</v>
      </c>
    </row>
    <row r="2911" spans="1:3" x14ac:dyDescent="0.3">
      <c r="A2911" s="98" t="s">
        <v>192</v>
      </c>
      <c r="B2911" s="98">
        <v>2016</v>
      </c>
      <c r="C2911" s="98">
        <v>1.4351</v>
      </c>
    </row>
    <row r="2912" spans="1:3" x14ac:dyDescent="0.3">
      <c r="A2912" s="98" t="s">
        <v>192</v>
      </c>
      <c r="B2912" s="98">
        <v>2017</v>
      </c>
      <c r="C2912" s="98">
        <v>1.409</v>
      </c>
    </row>
    <row r="2913" spans="1:3" x14ac:dyDescent="0.3">
      <c r="A2913" s="98" t="s">
        <v>192</v>
      </c>
      <c r="B2913" s="98">
        <v>2018</v>
      </c>
      <c r="C2913" s="98">
        <v>1.4896</v>
      </c>
    </row>
    <row r="2914" spans="1:3" x14ac:dyDescent="0.3">
      <c r="A2914" s="98" t="s">
        <v>192</v>
      </c>
      <c r="B2914" s="98">
        <v>2019</v>
      </c>
      <c r="C2914" s="98">
        <v>1.4847999999999999</v>
      </c>
    </row>
    <row r="2915" spans="1:3" x14ac:dyDescent="0.3">
      <c r="A2915" s="98" t="s">
        <v>192</v>
      </c>
      <c r="B2915" s="98">
        <v>2020</v>
      </c>
      <c r="C2915" s="98">
        <v>1.3836999999999999</v>
      </c>
    </row>
    <row r="2916" spans="1:3" x14ac:dyDescent="0.3">
      <c r="A2916" s="98" t="s">
        <v>192</v>
      </c>
      <c r="B2916" s="98">
        <v>2021</v>
      </c>
      <c r="C2916" s="98">
        <v>1.4637</v>
      </c>
    </row>
    <row r="2917" spans="1:3" x14ac:dyDescent="0.3">
      <c r="A2917" s="98" t="s">
        <v>192</v>
      </c>
      <c r="B2917" s="98">
        <v>2022</v>
      </c>
      <c r="C2917" s="98">
        <v>1.5785</v>
      </c>
    </row>
    <row r="2918" spans="1:3" x14ac:dyDescent="0.3">
      <c r="A2918" s="98" t="s">
        <v>193</v>
      </c>
      <c r="B2918" s="98">
        <v>2001</v>
      </c>
      <c r="C2918" s="98">
        <v>13.8408</v>
      </c>
    </row>
    <row r="2919" spans="1:3" x14ac:dyDescent="0.3">
      <c r="A2919" s="98" t="s">
        <v>193</v>
      </c>
      <c r="B2919" s="98">
        <v>2002</v>
      </c>
      <c r="C2919" s="98">
        <v>14.671200000000001</v>
      </c>
    </row>
    <row r="2920" spans="1:3" x14ac:dyDescent="0.3">
      <c r="A2920" s="98" t="s">
        <v>193</v>
      </c>
      <c r="B2920" s="98">
        <v>2003</v>
      </c>
      <c r="C2920" s="98">
        <v>15.551500000000001</v>
      </c>
    </row>
    <row r="2921" spans="1:3" x14ac:dyDescent="0.3">
      <c r="A2921" s="98" t="s">
        <v>193</v>
      </c>
      <c r="B2921" s="98">
        <v>2004</v>
      </c>
      <c r="C2921" s="98">
        <v>16.3291</v>
      </c>
    </row>
    <row r="2922" spans="1:3" x14ac:dyDescent="0.3">
      <c r="A2922" s="98" t="s">
        <v>193</v>
      </c>
      <c r="B2922" s="98">
        <v>2005</v>
      </c>
      <c r="C2922" s="98">
        <v>17.145499999999998</v>
      </c>
    </row>
    <row r="2923" spans="1:3" x14ac:dyDescent="0.3">
      <c r="A2923" s="98" t="s">
        <v>193</v>
      </c>
      <c r="B2923" s="98">
        <v>2006</v>
      </c>
      <c r="C2923" s="98">
        <v>18.002800000000001</v>
      </c>
    </row>
    <row r="2924" spans="1:3" x14ac:dyDescent="0.3">
      <c r="A2924" s="98" t="s">
        <v>193</v>
      </c>
      <c r="B2924" s="98">
        <v>2007</v>
      </c>
      <c r="C2924" s="98">
        <v>18.902999999999999</v>
      </c>
    </row>
    <row r="2925" spans="1:3" x14ac:dyDescent="0.3">
      <c r="A2925" s="98" t="s">
        <v>193</v>
      </c>
      <c r="B2925" s="98">
        <v>2008</v>
      </c>
      <c r="C2925" s="98">
        <v>19.848099999999999</v>
      </c>
    </row>
    <row r="2926" spans="1:3" x14ac:dyDescent="0.3">
      <c r="A2926" s="98" t="s">
        <v>193</v>
      </c>
      <c r="B2926" s="98">
        <v>2009</v>
      </c>
      <c r="C2926" s="98">
        <v>20.840499999999999</v>
      </c>
    </row>
    <row r="2927" spans="1:3" x14ac:dyDescent="0.3">
      <c r="A2927" s="98" t="s">
        <v>193</v>
      </c>
      <c r="B2927" s="98">
        <v>2010</v>
      </c>
      <c r="C2927" s="98">
        <v>21.8825</v>
      </c>
    </row>
    <row r="2928" spans="1:3" x14ac:dyDescent="0.3">
      <c r="A2928" s="98" t="s">
        <v>193</v>
      </c>
      <c r="B2928" s="98">
        <v>2011</v>
      </c>
      <c r="C2928" s="98">
        <v>22.976700000000001</v>
      </c>
    </row>
    <row r="2929" spans="1:3" x14ac:dyDescent="0.3">
      <c r="A2929" s="98" t="s">
        <v>193</v>
      </c>
      <c r="B2929" s="98">
        <v>2012</v>
      </c>
      <c r="C2929" s="98">
        <v>24.125499999999999</v>
      </c>
    </row>
    <row r="2930" spans="1:3" x14ac:dyDescent="0.3">
      <c r="A2930" s="98" t="s">
        <v>193</v>
      </c>
      <c r="B2930" s="98">
        <v>2013</v>
      </c>
      <c r="C2930" s="98">
        <v>25.331800000000001</v>
      </c>
    </row>
    <row r="2931" spans="1:3" x14ac:dyDescent="0.3">
      <c r="A2931" s="98" t="s">
        <v>193</v>
      </c>
      <c r="B2931" s="98">
        <v>2014</v>
      </c>
      <c r="C2931" s="98">
        <v>26.598400000000002</v>
      </c>
    </row>
    <row r="2932" spans="1:3" x14ac:dyDescent="0.3">
      <c r="A2932" s="98" t="s">
        <v>193</v>
      </c>
      <c r="B2932" s="98">
        <v>2015</v>
      </c>
      <c r="C2932" s="98">
        <v>27.9283</v>
      </c>
    </row>
    <row r="2933" spans="1:3" x14ac:dyDescent="0.3">
      <c r="A2933" s="98" t="s">
        <v>193</v>
      </c>
      <c r="B2933" s="98">
        <v>2016</v>
      </c>
      <c r="C2933" s="98">
        <v>29.3247</v>
      </c>
    </row>
    <row r="2934" spans="1:3" x14ac:dyDescent="0.3">
      <c r="A2934" s="98" t="s">
        <v>193</v>
      </c>
      <c r="B2934" s="98">
        <v>2017</v>
      </c>
      <c r="C2934" s="98">
        <v>30.790900000000001</v>
      </c>
    </row>
    <row r="2935" spans="1:3" x14ac:dyDescent="0.3">
      <c r="A2935" s="98" t="s">
        <v>193</v>
      </c>
      <c r="B2935" s="98">
        <v>2018</v>
      </c>
      <c r="C2935" s="98">
        <v>32.330471000000003</v>
      </c>
    </row>
    <row r="2936" spans="1:3" x14ac:dyDescent="0.3">
      <c r="A2936" s="98" t="s">
        <v>193</v>
      </c>
      <c r="B2936" s="98">
        <v>2019</v>
      </c>
      <c r="C2936" s="98">
        <v>33.838099999999997</v>
      </c>
    </row>
    <row r="2937" spans="1:3" x14ac:dyDescent="0.3">
      <c r="A2937" s="98" t="s">
        <v>193</v>
      </c>
      <c r="B2937" s="98">
        <v>2020</v>
      </c>
      <c r="C2937" s="98">
        <v>34.8245</v>
      </c>
    </row>
    <row r="2938" spans="1:3" x14ac:dyDescent="0.3">
      <c r="A2938" s="98" t="s">
        <v>193</v>
      </c>
      <c r="B2938" s="98">
        <v>2021</v>
      </c>
      <c r="C2938" s="98">
        <v>35.521000000000001</v>
      </c>
    </row>
    <row r="2939" spans="1:3" x14ac:dyDescent="0.3">
      <c r="A2939" s="98" t="s">
        <v>193</v>
      </c>
      <c r="B2939" s="98">
        <v>2022</v>
      </c>
      <c r="C2939" s="98">
        <v>36.231369000000001</v>
      </c>
    </row>
    <row r="2940" spans="1:3" x14ac:dyDescent="0.3">
      <c r="A2940" s="98" t="s">
        <v>194</v>
      </c>
      <c r="B2940" s="98">
        <v>2001</v>
      </c>
      <c r="C2940" s="98">
        <v>744.30614000000003</v>
      </c>
    </row>
    <row r="2941" spans="1:3" x14ac:dyDescent="0.3">
      <c r="A2941" s="98" t="s">
        <v>194</v>
      </c>
      <c r="B2941" s="98">
        <v>2002</v>
      </c>
      <c r="C2941" s="98">
        <v>625.49537999999995</v>
      </c>
    </row>
    <row r="2942" spans="1:3" x14ac:dyDescent="0.3">
      <c r="A2942" s="98" t="s">
        <v>194</v>
      </c>
      <c r="B2942" s="98">
        <v>2003</v>
      </c>
      <c r="C2942" s="98">
        <v>519.36420999999996</v>
      </c>
    </row>
    <row r="2943" spans="1:3" x14ac:dyDescent="0.3">
      <c r="A2943" s="98" t="s">
        <v>194</v>
      </c>
      <c r="B2943" s="98">
        <v>2004</v>
      </c>
      <c r="C2943" s="98">
        <v>481.57771000000002</v>
      </c>
    </row>
    <row r="2944" spans="1:3" x14ac:dyDescent="0.3">
      <c r="A2944" s="98" t="s">
        <v>194</v>
      </c>
      <c r="B2944" s="98">
        <v>2005</v>
      </c>
      <c r="C2944" s="98">
        <v>556.03713000000005</v>
      </c>
    </row>
    <row r="2945" spans="1:3" x14ac:dyDescent="0.3">
      <c r="A2945" s="98" t="s">
        <v>194</v>
      </c>
      <c r="B2945" s="98">
        <v>2006</v>
      </c>
      <c r="C2945" s="98">
        <v>498.06909999999999</v>
      </c>
    </row>
    <row r="2946" spans="1:3" x14ac:dyDescent="0.3">
      <c r="A2946" s="98" t="s">
        <v>194</v>
      </c>
      <c r="B2946" s="98">
        <v>2007</v>
      </c>
      <c r="C2946" s="98">
        <v>445.59269</v>
      </c>
    </row>
    <row r="2947" spans="1:3" x14ac:dyDescent="0.3">
      <c r="A2947" s="98" t="s">
        <v>194</v>
      </c>
      <c r="B2947" s="98">
        <v>2008</v>
      </c>
      <c r="C2947" s="98">
        <v>471.33506</v>
      </c>
    </row>
    <row r="2948" spans="1:3" x14ac:dyDescent="0.3">
      <c r="A2948" s="98" t="s">
        <v>194</v>
      </c>
      <c r="B2948" s="98">
        <v>2009</v>
      </c>
      <c r="C2948" s="98">
        <v>455.33596999999997</v>
      </c>
    </row>
    <row r="2949" spans="1:3" x14ac:dyDescent="0.3">
      <c r="A2949" s="98" t="s">
        <v>194</v>
      </c>
      <c r="B2949" s="98">
        <v>2010</v>
      </c>
      <c r="C2949" s="98">
        <v>490.91228999999998</v>
      </c>
    </row>
    <row r="2950" spans="1:3" x14ac:dyDescent="0.3">
      <c r="A2950" s="98" t="s">
        <v>194</v>
      </c>
      <c r="B2950" s="98">
        <v>2011</v>
      </c>
      <c r="C2950" s="98">
        <v>506.96113000000003</v>
      </c>
    </row>
    <row r="2951" spans="1:3" x14ac:dyDescent="0.3">
      <c r="A2951" s="98" t="s">
        <v>194</v>
      </c>
      <c r="B2951" s="98">
        <v>2012</v>
      </c>
      <c r="C2951" s="98">
        <v>497.16309999999999</v>
      </c>
    </row>
    <row r="2952" spans="1:3" x14ac:dyDescent="0.3">
      <c r="A2952" s="98" t="s">
        <v>194</v>
      </c>
      <c r="B2952" s="98">
        <v>2013</v>
      </c>
      <c r="C2952" s="98">
        <v>475.64136000000002</v>
      </c>
    </row>
    <row r="2953" spans="1:3" x14ac:dyDescent="0.3">
      <c r="A2953" s="98" t="s">
        <v>194</v>
      </c>
      <c r="B2953" s="98">
        <v>2014</v>
      </c>
      <c r="C2953" s="98">
        <v>540.28251</v>
      </c>
    </row>
    <row r="2954" spans="1:3" x14ac:dyDescent="0.3">
      <c r="A2954" s="98" t="s">
        <v>194</v>
      </c>
      <c r="B2954" s="98">
        <v>2015</v>
      </c>
      <c r="C2954" s="98">
        <v>602.51400999999998</v>
      </c>
    </row>
    <row r="2955" spans="1:3" x14ac:dyDescent="0.3">
      <c r="A2955" s="98" t="s">
        <v>194</v>
      </c>
      <c r="B2955" s="98">
        <v>2016</v>
      </c>
      <c r="C2955" s="98">
        <v>622.29105000000004</v>
      </c>
    </row>
    <row r="2956" spans="1:3" x14ac:dyDescent="0.3">
      <c r="A2956" s="98" t="s">
        <v>194</v>
      </c>
      <c r="B2956" s="98">
        <v>2017</v>
      </c>
      <c r="C2956" s="98">
        <v>546.94988999999998</v>
      </c>
    </row>
    <row r="2957" spans="1:3" x14ac:dyDescent="0.3">
      <c r="A2957" s="98" t="s">
        <v>194</v>
      </c>
      <c r="B2957" s="98">
        <v>2018</v>
      </c>
      <c r="C2957" s="98">
        <v>572.88820999999996</v>
      </c>
    </row>
    <row r="2958" spans="1:3" x14ac:dyDescent="0.3">
      <c r="A2958" s="98" t="s">
        <v>194</v>
      </c>
      <c r="B2958" s="98">
        <v>2019</v>
      </c>
      <c r="C2958" s="98">
        <v>583.90332999999998</v>
      </c>
    </row>
    <row r="2959" spans="1:3" x14ac:dyDescent="0.3">
      <c r="A2959" s="98" t="s">
        <v>194</v>
      </c>
      <c r="B2959" s="98">
        <v>2020</v>
      </c>
      <c r="C2959" s="98">
        <v>534.55871999999999</v>
      </c>
    </row>
    <row r="2960" spans="1:3" x14ac:dyDescent="0.3">
      <c r="A2960" s="98" t="s">
        <v>194</v>
      </c>
      <c r="B2960" s="98">
        <v>2021</v>
      </c>
      <c r="C2960" s="98">
        <v>579.16034000000002</v>
      </c>
    </row>
    <row r="2961" spans="1:3" x14ac:dyDescent="0.3">
      <c r="A2961" s="98" t="s">
        <v>194</v>
      </c>
      <c r="B2961" s="98">
        <v>2022</v>
      </c>
      <c r="C2961" s="98">
        <v>614.99811999999997</v>
      </c>
    </row>
    <row r="2962" spans="1:3" x14ac:dyDescent="0.3">
      <c r="A2962" s="98" t="s">
        <v>195</v>
      </c>
      <c r="B2962" s="98">
        <v>2001</v>
      </c>
      <c r="C2962" s="98">
        <v>112.95</v>
      </c>
    </row>
    <row r="2963" spans="1:3" x14ac:dyDescent="0.3">
      <c r="A2963" s="98" t="s">
        <v>195</v>
      </c>
      <c r="B2963" s="98">
        <v>2002</v>
      </c>
      <c r="C2963" s="98">
        <v>126.4</v>
      </c>
    </row>
    <row r="2964" spans="1:3" x14ac:dyDescent="0.3">
      <c r="A2964" s="98" t="s">
        <v>195</v>
      </c>
      <c r="B2964" s="98">
        <v>2003</v>
      </c>
      <c r="C2964" s="98">
        <v>136.5</v>
      </c>
    </row>
    <row r="2965" spans="1:3" x14ac:dyDescent="0.3">
      <c r="A2965" s="98" t="s">
        <v>195</v>
      </c>
      <c r="B2965" s="98">
        <v>2004</v>
      </c>
      <c r="C2965" s="98">
        <v>132.35</v>
      </c>
    </row>
    <row r="2966" spans="1:3" x14ac:dyDescent="0.3">
      <c r="A2966" s="98" t="s">
        <v>195</v>
      </c>
      <c r="B2966" s="98">
        <v>2005</v>
      </c>
      <c r="C2966" s="98">
        <v>129</v>
      </c>
    </row>
    <row r="2967" spans="1:3" x14ac:dyDescent="0.3">
      <c r="A2967" s="98" t="s">
        <v>195</v>
      </c>
      <c r="B2967" s="98">
        <v>2006</v>
      </c>
      <c r="C2967" s="98">
        <v>128.27000000000001</v>
      </c>
    </row>
    <row r="2968" spans="1:3" x14ac:dyDescent="0.3">
      <c r="A2968" s="98" t="s">
        <v>195</v>
      </c>
      <c r="B2968" s="98">
        <v>2007</v>
      </c>
      <c r="C2968" s="98">
        <v>117.968</v>
      </c>
    </row>
    <row r="2969" spans="1:3" x14ac:dyDescent="0.3">
      <c r="A2969" s="98" t="s">
        <v>195</v>
      </c>
      <c r="B2969" s="98">
        <v>2008</v>
      </c>
      <c r="C2969" s="98">
        <v>132.56</v>
      </c>
    </row>
    <row r="2970" spans="1:3" x14ac:dyDescent="0.3">
      <c r="A2970" s="98" t="s">
        <v>195</v>
      </c>
      <c r="B2970" s="98">
        <v>2009</v>
      </c>
      <c r="C2970" s="98">
        <v>149.58000000000001</v>
      </c>
    </row>
    <row r="2971" spans="1:3" x14ac:dyDescent="0.3">
      <c r="A2971" s="98" t="s">
        <v>195</v>
      </c>
      <c r="B2971" s="98">
        <v>2010</v>
      </c>
      <c r="C2971" s="98">
        <v>150.66</v>
      </c>
    </row>
    <row r="2972" spans="1:3" x14ac:dyDescent="0.3">
      <c r="A2972" s="98" t="s">
        <v>195</v>
      </c>
      <c r="B2972" s="98">
        <v>2011</v>
      </c>
      <c r="C2972" s="98">
        <v>158.27000000000001</v>
      </c>
    </row>
    <row r="2973" spans="1:3" x14ac:dyDescent="0.3">
      <c r="A2973" s="98" t="s">
        <v>195</v>
      </c>
      <c r="B2973" s="98">
        <v>2012</v>
      </c>
      <c r="C2973" s="98">
        <v>157.33000000000001</v>
      </c>
    </row>
    <row r="2974" spans="1:3" x14ac:dyDescent="0.3">
      <c r="A2974" s="98" t="s">
        <v>195</v>
      </c>
      <c r="B2974" s="98">
        <v>2013</v>
      </c>
      <c r="C2974" s="98">
        <v>157.26</v>
      </c>
    </row>
    <row r="2975" spans="1:3" x14ac:dyDescent="0.3">
      <c r="A2975" s="98" t="s">
        <v>195</v>
      </c>
      <c r="B2975" s="98">
        <v>2014</v>
      </c>
      <c r="C2975" s="98">
        <v>169.68</v>
      </c>
    </row>
    <row r="2976" spans="1:3" x14ac:dyDescent="0.3">
      <c r="A2976" s="98" t="s">
        <v>195</v>
      </c>
      <c r="B2976" s="98">
        <v>2015</v>
      </c>
      <c r="C2976" s="98">
        <v>197</v>
      </c>
    </row>
    <row r="2977" spans="1:3" x14ac:dyDescent="0.3">
      <c r="A2977" s="98" t="s">
        <v>195</v>
      </c>
      <c r="B2977" s="98">
        <v>2016</v>
      </c>
      <c r="C2977" s="98">
        <v>305</v>
      </c>
    </row>
    <row r="2978" spans="1:3" x14ac:dyDescent="0.3">
      <c r="A2978" s="98" t="s">
        <v>195</v>
      </c>
      <c r="B2978" s="98">
        <v>2017</v>
      </c>
      <c r="C2978" s="98">
        <v>306</v>
      </c>
    </row>
    <row r="2979" spans="1:3" x14ac:dyDescent="0.3">
      <c r="A2979" s="98" t="s">
        <v>195</v>
      </c>
      <c r="B2979" s="98">
        <v>2018</v>
      </c>
      <c r="C2979" s="98">
        <v>307</v>
      </c>
    </row>
    <row r="2980" spans="1:3" x14ac:dyDescent="0.3">
      <c r="A2980" s="98" t="s">
        <v>195</v>
      </c>
      <c r="B2980" s="98">
        <v>2019</v>
      </c>
      <c r="C2980" s="98">
        <v>307</v>
      </c>
    </row>
    <row r="2981" spans="1:3" x14ac:dyDescent="0.3">
      <c r="A2981" s="98" t="s">
        <v>195</v>
      </c>
      <c r="B2981" s="98">
        <v>2020</v>
      </c>
      <c r="C2981" s="98">
        <v>381</v>
      </c>
    </row>
    <row r="2982" spans="1:3" x14ac:dyDescent="0.3">
      <c r="A2982" s="98" t="s">
        <v>195</v>
      </c>
      <c r="B2982" s="98">
        <v>2021</v>
      </c>
      <c r="C2982" s="98">
        <v>435</v>
      </c>
    </row>
    <row r="2983" spans="1:3" x14ac:dyDescent="0.3">
      <c r="A2983" s="98" t="s">
        <v>195</v>
      </c>
      <c r="B2983" s="98">
        <v>2022</v>
      </c>
      <c r="C2983" s="98">
        <v>460</v>
      </c>
    </row>
    <row r="2984" spans="1:3" x14ac:dyDescent="0.3">
      <c r="A2984" s="98" t="s">
        <v>196</v>
      </c>
      <c r="B2984" s="98">
        <v>2001</v>
      </c>
      <c r="C2984" s="98">
        <v>69.171800000000005</v>
      </c>
    </row>
    <row r="2985" spans="1:3" x14ac:dyDescent="0.3">
      <c r="A2985" s="98" t="s">
        <v>196</v>
      </c>
      <c r="B2985" s="98">
        <v>2002</v>
      </c>
      <c r="C2985" s="98">
        <v>58.597900000000003</v>
      </c>
    </row>
    <row r="2986" spans="1:3" x14ac:dyDescent="0.3">
      <c r="A2986" s="98" t="s">
        <v>196</v>
      </c>
      <c r="B2986" s="98">
        <v>2003</v>
      </c>
      <c r="C2986" s="98">
        <v>49.050199999999997</v>
      </c>
    </row>
    <row r="2987" spans="1:3" x14ac:dyDescent="0.3">
      <c r="A2987" s="98" t="s">
        <v>196</v>
      </c>
      <c r="B2987" s="98">
        <v>2004</v>
      </c>
      <c r="C2987" s="98">
        <v>45.067599999999999</v>
      </c>
    </row>
    <row r="2988" spans="1:3" x14ac:dyDescent="0.3">
      <c r="A2988" s="98" t="s">
        <v>196</v>
      </c>
      <c r="B2988" s="98">
        <v>2005</v>
      </c>
      <c r="C2988" s="98">
        <v>51.858899999999998</v>
      </c>
    </row>
    <row r="2989" spans="1:3" x14ac:dyDescent="0.3">
      <c r="A2989" s="98" t="s">
        <v>196</v>
      </c>
      <c r="B2989" s="98">
        <v>2006</v>
      </c>
      <c r="C2989" s="98">
        <v>46.449599999999997</v>
      </c>
    </row>
    <row r="2990" spans="1:3" x14ac:dyDescent="0.3">
      <c r="A2990" s="98" t="s">
        <v>196</v>
      </c>
      <c r="B2990" s="98">
        <v>2007</v>
      </c>
      <c r="C2990" s="98">
        <v>41.656399999999998</v>
      </c>
    </row>
    <row r="2991" spans="1:3" x14ac:dyDescent="0.3">
      <c r="A2991" s="98" t="s">
        <v>196</v>
      </c>
      <c r="B2991" s="98">
        <v>2008</v>
      </c>
      <c r="C2991" s="98">
        <v>43.561</v>
      </c>
    </row>
    <row r="2992" spans="1:3" x14ac:dyDescent="0.3">
      <c r="A2992" s="98" t="s">
        <v>196</v>
      </c>
      <c r="B2992" s="98">
        <v>2009</v>
      </c>
      <c r="C2992" s="98">
        <v>42.665100000000002</v>
      </c>
    </row>
    <row r="2993" spans="1:3" x14ac:dyDescent="0.3">
      <c r="A2993" s="98" t="s">
        <v>196</v>
      </c>
      <c r="B2993" s="98">
        <v>2010</v>
      </c>
      <c r="C2993" s="98">
        <v>46.314</v>
      </c>
    </row>
    <row r="2994" spans="1:3" x14ac:dyDescent="0.3">
      <c r="A2994" s="98" t="s">
        <v>196</v>
      </c>
      <c r="B2994" s="98">
        <v>2011</v>
      </c>
      <c r="C2994" s="98">
        <v>47.534599999999998</v>
      </c>
    </row>
    <row r="2995" spans="1:3" x14ac:dyDescent="0.3">
      <c r="A2995" s="98" t="s">
        <v>196</v>
      </c>
      <c r="B2995" s="98">
        <v>2012</v>
      </c>
      <c r="C2995" s="98">
        <v>46.651000000000003</v>
      </c>
    </row>
    <row r="2996" spans="1:3" x14ac:dyDescent="0.3">
      <c r="A2996" s="98" t="s">
        <v>196</v>
      </c>
      <c r="B2996" s="98">
        <v>2013</v>
      </c>
      <c r="C2996" s="98">
        <v>44.628399999999999</v>
      </c>
    </row>
    <row r="2997" spans="1:3" x14ac:dyDescent="0.3">
      <c r="A2997" s="98" t="s">
        <v>196</v>
      </c>
      <c r="B2997" s="98">
        <v>2014</v>
      </c>
      <c r="C2997" s="98">
        <v>50.560400000000001</v>
      </c>
    </row>
    <row r="2998" spans="1:3" x14ac:dyDescent="0.3">
      <c r="A2998" s="98" t="s">
        <v>196</v>
      </c>
      <c r="B2998" s="98">
        <v>2015</v>
      </c>
      <c r="C2998" s="98">
        <v>56.374400000000001</v>
      </c>
    </row>
    <row r="2999" spans="1:3" x14ac:dyDescent="0.3">
      <c r="A2999" s="98" t="s">
        <v>196</v>
      </c>
      <c r="B2999" s="98">
        <v>2016</v>
      </c>
      <c r="C2999" s="98">
        <v>58.325800000000001</v>
      </c>
    </row>
    <row r="3000" spans="1:3" x14ac:dyDescent="0.3">
      <c r="A3000" s="98" t="s">
        <v>196</v>
      </c>
      <c r="B3000" s="98">
        <v>2017</v>
      </c>
      <c r="C3000" s="98">
        <v>51.272199999999998</v>
      </c>
    </row>
    <row r="3001" spans="1:3" x14ac:dyDescent="0.3">
      <c r="A3001" s="98" t="s">
        <v>196</v>
      </c>
      <c r="B3001" s="98">
        <v>2018</v>
      </c>
      <c r="C3001" s="98">
        <v>53.688699999999997</v>
      </c>
    </row>
    <row r="3002" spans="1:3" x14ac:dyDescent="0.3">
      <c r="A3002" s="98" t="s">
        <v>196</v>
      </c>
      <c r="B3002" s="98">
        <v>2019</v>
      </c>
      <c r="C3002" s="98">
        <v>54.951799999999999</v>
      </c>
    </row>
    <row r="3003" spans="1:3" x14ac:dyDescent="0.3">
      <c r="A3003" s="98" t="s">
        <v>196</v>
      </c>
      <c r="B3003" s="98">
        <v>2020</v>
      </c>
      <c r="C3003" s="98">
        <v>50.235300000000002</v>
      </c>
    </row>
    <row r="3004" spans="1:3" x14ac:dyDescent="0.3">
      <c r="A3004" s="98" t="s">
        <v>196</v>
      </c>
      <c r="B3004" s="98">
        <v>2021</v>
      </c>
      <c r="C3004" s="98">
        <v>54.373600000000003</v>
      </c>
    </row>
    <row r="3005" spans="1:3" x14ac:dyDescent="0.3">
      <c r="A3005" s="98" t="s">
        <v>196</v>
      </c>
      <c r="B3005" s="98">
        <v>2022</v>
      </c>
      <c r="C3005" s="98">
        <v>57.653500000000001</v>
      </c>
    </row>
    <row r="3006" spans="1:3" x14ac:dyDescent="0.3">
      <c r="A3006" s="98" t="s">
        <v>36</v>
      </c>
      <c r="B3006" s="98">
        <v>2001</v>
      </c>
      <c r="C3006" s="98">
        <v>9.0115999999999996</v>
      </c>
    </row>
    <row r="3007" spans="1:3" x14ac:dyDescent="0.3">
      <c r="A3007" s="98" t="s">
        <v>36</v>
      </c>
      <c r="B3007" s="98">
        <v>2002</v>
      </c>
      <c r="C3007" s="98">
        <v>6.9657</v>
      </c>
    </row>
    <row r="3008" spans="1:3" x14ac:dyDescent="0.3">
      <c r="A3008" s="98" t="s">
        <v>36</v>
      </c>
      <c r="B3008" s="98">
        <v>2003</v>
      </c>
      <c r="C3008" s="98">
        <v>6.68</v>
      </c>
    </row>
    <row r="3009" spans="1:3" x14ac:dyDescent="0.3">
      <c r="A3009" s="98" t="s">
        <v>36</v>
      </c>
      <c r="B3009" s="98">
        <v>2004</v>
      </c>
      <c r="C3009" s="98">
        <v>6.04</v>
      </c>
    </row>
    <row r="3010" spans="1:3" x14ac:dyDescent="0.3">
      <c r="A3010" s="98" t="s">
        <v>36</v>
      </c>
      <c r="B3010" s="98">
        <v>2005</v>
      </c>
      <c r="C3010" s="98">
        <v>6.77</v>
      </c>
    </row>
    <row r="3011" spans="1:3" x14ac:dyDescent="0.3">
      <c r="A3011" s="98" t="s">
        <v>36</v>
      </c>
      <c r="B3011" s="98">
        <v>2006</v>
      </c>
      <c r="C3011" s="98">
        <v>6.26</v>
      </c>
    </row>
    <row r="3012" spans="1:3" x14ac:dyDescent="0.3">
      <c r="A3012" s="98" t="s">
        <v>36</v>
      </c>
      <c r="B3012" s="98">
        <v>2007</v>
      </c>
      <c r="C3012" s="98">
        <v>5.41</v>
      </c>
    </row>
    <row r="3013" spans="1:3" x14ac:dyDescent="0.3">
      <c r="A3013" s="98" t="s">
        <v>36</v>
      </c>
      <c r="B3013" s="98">
        <v>2008</v>
      </c>
      <c r="C3013" s="98">
        <v>7</v>
      </c>
    </row>
    <row r="3014" spans="1:3" x14ac:dyDescent="0.3">
      <c r="A3014" s="98" t="s">
        <v>36</v>
      </c>
      <c r="B3014" s="98">
        <v>2009</v>
      </c>
      <c r="C3014" s="98">
        <v>5.78</v>
      </c>
    </row>
    <row r="3015" spans="1:3" x14ac:dyDescent="0.3">
      <c r="A3015" s="98" t="s">
        <v>36</v>
      </c>
      <c r="B3015" s="98">
        <v>2010</v>
      </c>
      <c r="C3015" s="98">
        <v>5.86</v>
      </c>
    </row>
    <row r="3016" spans="1:3" x14ac:dyDescent="0.3">
      <c r="A3016" s="98" t="s">
        <v>36</v>
      </c>
      <c r="B3016" s="98">
        <v>2011</v>
      </c>
      <c r="C3016" s="98">
        <v>5.99</v>
      </c>
    </row>
    <row r="3017" spans="1:3" x14ac:dyDescent="0.3">
      <c r="A3017" s="98" t="s">
        <v>36</v>
      </c>
      <c r="B3017" s="98">
        <v>2012</v>
      </c>
      <c r="C3017" s="98">
        <v>5.57</v>
      </c>
    </row>
    <row r="3018" spans="1:3" x14ac:dyDescent="0.3">
      <c r="A3018" s="98" t="s">
        <v>36</v>
      </c>
      <c r="B3018" s="98">
        <v>2013</v>
      </c>
      <c r="C3018" s="98">
        <v>6.08</v>
      </c>
    </row>
    <row r="3019" spans="1:3" x14ac:dyDescent="0.3">
      <c r="A3019" s="98" t="s">
        <v>36</v>
      </c>
      <c r="B3019" s="98">
        <v>2014</v>
      </c>
      <c r="C3019" s="98">
        <v>7.43</v>
      </c>
    </row>
    <row r="3020" spans="1:3" x14ac:dyDescent="0.3">
      <c r="A3020" s="98" t="s">
        <v>36</v>
      </c>
      <c r="B3020" s="98">
        <v>2015</v>
      </c>
      <c r="C3020" s="98">
        <v>8.81</v>
      </c>
    </row>
    <row r="3021" spans="1:3" x14ac:dyDescent="0.3">
      <c r="A3021" s="98" t="s">
        <v>36</v>
      </c>
      <c r="B3021" s="98">
        <v>2016</v>
      </c>
      <c r="C3021" s="98">
        <v>8.6199999999999992</v>
      </c>
    </row>
    <row r="3022" spans="1:3" x14ac:dyDescent="0.3">
      <c r="A3022" s="98" t="s">
        <v>36</v>
      </c>
      <c r="B3022" s="98">
        <v>2017</v>
      </c>
      <c r="C3022" s="98">
        <v>8.2100000000000009</v>
      </c>
    </row>
    <row r="3023" spans="1:3" x14ac:dyDescent="0.3">
      <c r="A3023" s="98" t="s">
        <v>36</v>
      </c>
      <c r="B3023" s="98">
        <v>2018</v>
      </c>
      <c r="C3023" s="98">
        <v>8.69</v>
      </c>
    </row>
    <row r="3024" spans="1:3" x14ac:dyDescent="0.3">
      <c r="A3024" s="98" t="s">
        <v>36</v>
      </c>
      <c r="B3024" s="98">
        <v>2019</v>
      </c>
      <c r="C3024" s="98">
        <v>8.7799999999999994</v>
      </c>
    </row>
    <row r="3025" spans="1:3" x14ac:dyDescent="0.3">
      <c r="A3025" s="98" t="s">
        <v>36</v>
      </c>
      <c r="B3025" s="98">
        <v>2020</v>
      </c>
      <c r="C3025" s="98">
        <v>8.5299999999999994</v>
      </c>
    </row>
    <row r="3026" spans="1:3" x14ac:dyDescent="0.3">
      <c r="A3026" s="98" t="s">
        <v>36</v>
      </c>
      <c r="B3026" s="98">
        <v>2021</v>
      </c>
      <c r="C3026" s="98">
        <v>8.82</v>
      </c>
    </row>
    <row r="3027" spans="1:3" x14ac:dyDescent="0.3">
      <c r="A3027" s="98" t="s">
        <v>36</v>
      </c>
      <c r="B3027" s="98">
        <v>2022</v>
      </c>
      <c r="C3027" s="98">
        <v>9.86</v>
      </c>
    </row>
    <row r="3028" spans="1:3" x14ac:dyDescent="0.3">
      <c r="A3028" s="98" t="s">
        <v>197</v>
      </c>
      <c r="B3028" s="98">
        <v>2001</v>
      </c>
      <c r="C3028" s="98">
        <v>0.38450000000000001</v>
      </c>
    </row>
    <row r="3029" spans="1:3" x14ac:dyDescent="0.3">
      <c r="A3029" s="98" t="s">
        <v>197</v>
      </c>
      <c r="B3029" s="98">
        <v>2002</v>
      </c>
      <c r="C3029" s="98">
        <v>0.38450000000000001</v>
      </c>
    </row>
    <row r="3030" spans="1:3" x14ac:dyDescent="0.3">
      <c r="A3030" s="98" t="s">
        <v>197</v>
      </c>
      <c r="B3030" s="98">
        <v>2003</v>
      </c>
      <c r="C3030" s="98">
        <v>0.38450000000000001</v>
      </c>
    </row>
    <row r="3031" spans="1:3" x14ac:dyDescent="0.3">
      <c r="A3031" s="98" t="s">
        <v>197</v>
      </c>
      <c r="B3031" s="98">
        <v>2004</v>
      </c>
      <c r="C3031" s="98">
        <v>0.38450000000000001</v>
      </c>
    </row>
    <row r="3032" spans="1:3" x14ac:dyDescent="0.3">
      <c r="A3032" s="98" t="s">
        <v>197</v>
      </c>
      <c r="B3032" s="98">
        <v>2005</v>
      </c>
      <c r="C3032" s="98">
        <v>0.38450000000000001</v>
      </c>
    </row>
    <row r="3033" spans="1:3" x14ac:dyDescent="0.3">
      <c r="A3033" s="98" t="s">
        <v>197</v>
      </c>
      <c r="B3033" s="98">
        <v>2006</v>
      </c>
      <c r="C3033" s="98">
        <v>0.38450000000000001</v>
      </c>
    </row>
    <row r="3034" spans="1:3" x14ac:dyDescent="0.3">
      <c r="A3034" s="98" t="s">
        <v>197</v>
      </c>
      <c r="B3034" s="98">
        <v>2007</v>
      </c>
      <c r="C3034" s="98">
        <v>0.38450000000000001</v>
      </c>
    </row>
    <row r="3035" spans="1:3" x14ac:dyDescent="0.3">
      <c r="A3035" s="98" t="s">
        <v>197</v>
      </c>
      <c r="B3035" s="98">
        <v>2008</v>
      </c>
      <c r="C3035" s="98">
        <v>0.38450000000000001</v>
      </c>
    </row>
    <row r="3036" spans="1:3" x14ac:dyDescent="0.3">
      <c r="A3036" s="98" t="s">
        <v>197</v>
      </c>
      <c r="B3036" s="98">
        <v>2009</v>
      </c>
      <c r="C3036" s="98">
        <v>0.38450000000000001</v>
      </c>
    </row>
    <row r="3037" spans="1:3" x14ac:dyDescent="0.3">
      <c r="A3037" s="98" t="s">
        <v>197</v>
      </c>
      <c r="B3037" s="98">
        <v>2010</v>
      </c>
      <c r="C3037" s="98">
        <v>0.38450000000000001</v>
      </c>
    </row>
    <row r="3038" spans="1:3" x14ac:dyDescent="0.3">
      <c r="A3038" s="98" t="s">
        <v>197</v>
      </c>
      <c r="B3038" s="98">
        <v>2011</v>
      </c>
      <c r="C3038" s="98">
        <v>0.38450000000000001</v>
      </c>
    </row>
    <row r="3039" spans="1:3" x14ac:dyDescent="0.3">
      <c r="A3039" s="98" t="s">
        <v>197</v>
      </c>
      <c r="B3039" s="98">
        <v>2012</v>
      </c>
      <c r="C3039" s="98">
        <v>0.38450000000000001</v>
      </c>
    </row>
    <row r="3040" spans="1:3" x14ac:dyDescent="0.3">
      <c r="A3040" s="98" t="s">
        <v>197</v>
      </c>
      <c r="B3040" s="98">
        <v>2013</v>
      </c>
      <c r="C3040" s="98">
        <v>0.38450000000000001</v>
      </c>
    </row>
    <row r="3041" spans="1:3" x14ac:dyDescent="0.3">
      <c r="A3041" s="98" t="s">
        <v>197</v>
      </c>
      <c r="B3041" s="98">
        <v>2014</v>
      </c>
      <c r="C3041" s="98">
        <v>0.38450000000000001</v>
      </c>
    </row>
    <row r="3042" spans="1:3" x14ac:dyDescent="0.3">
      <c r="A3042" s="98" t="s">
        <v>197</v>
      </c>
      <c r="B3042" s="98">
        <v>2015</v>
      </c>
      <c r="C3042" s="98">
        <v>0.38450000000000001</v>
      </c>
    </row>
    <row r="3043" spans="1:3" x14ac:dyDescent="0.3">
      <c r="A3043" s="98" t="s">
        <v>197</v>
      </c>
      <c r="B3043" s="98">
        <v>2016</v>
      </c>
      <c r="C3043" s="98">
        <v>0.38450000000000001</v>
      </c>
    </row>
    <row r="3044" spans="1:3" x14ac:dyDescent="0.3">
      <c r="A3044" s="98" t="s">
        <v>197</v>
      </c>
      <c r="B3044" s="98">
        <v>2017</v>
      </c>
      <c r="C3044" s="98">
        <v>0.38450000000000001</v>
      </c>
    </row>
    <row r="3045" spans="1:3" x14ac:dyDescent="0.3">
      <c r="A3045" s="98" t="s">
        <v>197</v>
      </c>
      <c r="B3045" s="98">
        <v>2018</v>
      </c>
      <c r="C3045" s="98">
        <v>0.38450000000000001</v>
      </c>
    </row>
    <row r="3046" spans="1:3" x14ac:dyDescent="0.3">
      <c r="A3046" s="98" t="s">
        <v>197</v>
      </c>
      <c r="B3046" s="98">
        <v>2019</v>
      </c>
      <c r="C3046" s="98">
        <v>0.38450000000000001</v>
      </c>
    </row>
    <row r="3047" spans="1:3" x14ac:dyDescent="0.3">
      <c r="A3047" s="98" t="s">
        <v>197</v>
      </c>
      <c r="B3047" s="98">
        <v>2020</v>
      </c>
      <c r="C3047" s="98">
        <v>0.38450000000000001</v>
      </c>
    </row>
    <row r="3048" spans="1:3" x14ac:dyDescent="0.3">
      <c r="A3048" s="98" t="s">
        <v>197</v>
      </c>
      <c r="B3048" s="98">
        <v>2021</v>
      </c>
      <c r="C3048" s="98">
        <v>0.38450000000000001</v>
      </c>
    </row>
    <row r="3049" spans="1:3" x14ac:dyDescent="0.3">
      <c r="A3049" s="98" t="s">
        <v>197</v>
      </c>
      <c r="B3049" s="98">
        <v>2022</v>
      </c>
      <c r="C3049" s="98">
        <v>0.38450000000000001</v>
      </c>
    </row>
    <row r="3050" spans="1:3" x14ac:dyDescent="0.3">
      <c r="A3050" s="98" t="s">
        <v>198</v>
      </c>
      <c r="B3050" s="98">
        <v>2001</v>
      </c>
      <c r="C3050" s="98">
        <v>60.863849999999999</v>
      </c>
    </row>
    <row r="3051" spans="1:3" x14ac:dyDescent="0.3">
      <c r="A3051" s="98" t="s">
        <v>198</v>
      </c>
      <c r="B3051" s="98">
        <v>2002</v>
      </c>
      <c r="C3051" s="98">
        <v>58.533850000000001</v>
      </c>
    </row>
    <row r="3052" spans="1:3" x14ac:dyDescent="0.3">
      <c r="A3052" s="98" t="s">
        <v>198</v>
      </c>
      <c r="B3052" s="98">
        <v>2003</v>
      </c>
      <c r="C3052" s="98">
        <v>57.215000000000003</v>
      </c>
    </row>
    <row r="3053" spans="1:3" x14ac:dyDescent="0.3">
      <c r="A3053" s="98" t="s">
        <v>198</v>
      </c>
      <c r="B3053" s="98">
        <v>2004</v>
      </c>
      <c r="C3053" s="98">
        <v>59.124000000000002</v>
      </c>
    </row>
    <row r="3054" spans="1:3" x14ac:dyDescent="0.3">
      <c r="A3054" s="98" t="s">
        <v>198</v>
      </c>
      <c r="B3054" s="98">
        <v>2005</v>
      </c>
      <c r="C3054" s="98">
        <v>59.829949999999997</v>
      </c>
    </row>
    <row r="3055" spans="1:3" x14ac:dyDescent="0.3">
      <c r="A3055" s="98" t="s">
        <v>198</v>
      </c>
      <c r="B3055" s="98">
        <v>2006</v>
      </c>
      <c r="C3055" s="98">
        <v>60.918199999999999</v>
      </c>
    </row>
    <row r="3056" spans="1:3" x14ac:dyDescent="0.3">
      <c r="A3056" s="98" t="s">
        <v>198</v>
      </c>
      <c r="B3056" s="98">
        <v>2007</v>
      </c>
      <c r="C3056" s="98">
        <v>61.220700000000001</v>
      </c>
    </row>
    <row r="3057" spans="1:3" x14ac:dyDescent="0.3">
      <c r="A3057" s="98" t="s">
        <v>198</v>
      </c>
      <c r="B3057" s="98">
        <v>2008</v>
      </c>
      <c r="C3057" s="98">
        <v>79.097999999999999</v>
      </c>
    </row>
    <row r="3058" spans="1:3" x14ac:dyDescent="0.3">
      <c r="A3058" s="98" t="s">
        <v>198</v>
      </c>
      <c r="B3058" s="98">
        <v>2009</v>
      </c>
      <c r="C3058" s="98">
        <v>84.263400000000004</v>
      </c>
    </row>
    <row r="3059" spans="1:3" x14ac:dyDescent="0.3">
      <c r="A3059" s="98" t="s">
        <v>198</v>
      </c>
      <c r="B3059" s="98">
        <v>2010</v>
      </c>
      <c r="C3059" s="98">
        <v>85.710800000000006</v>
      </c>
    </row>
    <row r="3060" spans="1:3" x14ac:dyDescent="0.3">
      <c r="A3060" s="98" t="s">
        <v>198</v>
      </c>
      <c r="B3060" s="98">
        <v>2011</v>
      </c>
      <c r="C3060" s="98">
        <v>89.9679</v>
      </c>
    </row>
    <row r="3061" spans="1:3" x14ac:dyDescent="0.3">
      <c r="A3061" s="98" t="s">
        <v>198</v>
      </c>
      <c r="B3061" s="98">
        <v>2012</v>
      </c>
      <c r="C3061" s="98">
        <v>97.136099999999999</v>
      </c>
    </row>
    <row r="3062" spans="1:3" x14ac:dyDescent="0.3">
      <c r="A3062" s="98" t="s">
        <v>198</v>
      </c>
      <c r="B3062" s="98">
        <v>2013</v>
      </c>
      <c r="C3062" s="98">
        <v>105.6782</v>
      </c>
    </row>
    <row r="3063" spans="1:3" x14ac:dyDescent="0.3">
      <c r="A3063" s="98" t="s">
        <v>198</v>
      </c>
      <c r="B3063" s="98">
        <v>2014</v>
      </c>
      <c r="C3063" s="98">
        <v>100.4586</v>
      </c>
    </row>
    <row r="3064" spans="1:3" x14ac:dyDescent="0.3">
      <c r="A3064" s="98" t="s">
        <v>198</v>
      </c>
      <c r="B3064" s="98">
        <v>2015</v>
      </c>
      <c r="C3064" s="98">
        <v>104.8655</v>
      </c>
    </row>
    <row r="3065" spans="1:3" x14ac:dyDescent="0.3">
      <c r="A3065" s="98" t="s">
        <v>198</v>
      </c>
      <c r="B3065" s="98">
        <v>2016</v>
      </c>
      <c r="C3065" s="98">
        <v>104.813</v>
      </c>
    </row>
    <row r="3066" spans="1:3" x14ac:dyDescent="0.3">
      <c r="A3066" s="98" t="s">
        <v>198</v>
      </c>
      <c r="B3066" s="98">
        <v>2017</v>
      </c>
      <c r="C3066" s="98">
        <v>110.43275</v>
      </c>
    </row>
    <row r="3067" spans="1:3" x14ac:dyDescent="0.3">
      <c r="A3067" s="98" t="s">
        <v>198</v>
      </c>
      <c r="B3067" s="98">
        <v>2018</v>
      </c>
      <c r="C3067" s="98">
        <v>138.79214999999999</v>
      </c>
    </row>
    <row r="3068" spans="1:3" x14ac:dyDescent="0.3">
      <c r="A3068" s="98" t="s">
        <v>198</v>
      </c>
      <c r="B3068" s="98">
        <v>2019</v>
      </c>
      <c r="C3068" s="98">
        <v>154.86564999999999</v>
      </c>
    </row>
    <row r="3069" spans="1:3" x14ac:dyDescent="0.3">
      <c r="A3069" s="98" t="s">
        <v>198</v>
      </c>
      <c r="B3069" s="98">
        <v>2020</v>
      </c>
      <c r="C3069" s="98">
        <v>159.59174999999999</v>
      </c>
    </row>
    <row r="3070" spans="1:3" x14ac:dyDescent="0.3">
      <c r="A3070" s="98" t="s">
        <v>198</v>
      </c>
      <c r="B3070" s="98">
        <v>2021</v>
      </c>
      <c r="C3070" s="98">
        <v>176.51910000000001</v>
      </c>
    </row>
    <row r="3071" spans="1:3" x14ac:dyDescent="0.3">
      <c r="A3071" s="98" t="s">
        <v>198</v>
      </c>
      <c r="B3071" s="98">
        <v>2022</v>
      </c>
      <c r="C3071" s="98">
        <v>226.47309999999999</v>
      </c>
    </row>
    <row r="3072" spans="1:3" x14ac:dyDescent="0.3">
      <c r="A3072" s="98" t="s">
        <v>199</v>
      </c>
      <c r="B3072" s="98">
        <v>2001</v>
      </c>
    </row>
    <row r="3073" spans="1:3" x14ac:dyDescent="0.3">
      <c r="A3073" s="98" t="s">
        <v>199</v>
      </c>
      <c r="B3073" s="98">
        <v>2002</v>
      </c>
    </row>
    <row r="3074" spans="1:3" x14ac:dyDescent="0.3">
      <c r="A3074" s="98" t="s">
        <v>199</v>
      </c>
      <c r="B3074" s="98">
        <v>2003</v>
      </c>
    </row>
    <row r="3075" spans="1:3" x14ac:dyDescent="0.3">
      <c r="A3075" s="98" t="s">
        <v>199</v>
      </c>
      <c r="B3075" s="98">
        <v>2004</v>
      </c>
    </row>
    <row r="3076" spans="1:3" x14ac:dyDescent="0.3">
      <c r="A3076" s="98" t="s">
        <v>199</v>
      </c>
      <c r="B3076" s="98">
        <v>2005</v>
      </c>
      <c r="C3076" s="98">
        <v>1</v>
      </c>
    </row>
    <row r="3077" spans="1:3" x14ac:dyDescent="0.3">
      <c r="A3077" s="98" t="s">
        <v>199</v>
      </c>
      <c r="B3077" s="98">
        <v>2006</v>
      </c>
      <c r="C3077" s="98">
        <v>1</v>
      </c>
    </row>
    <row r="3078" spans="1:3" x14ac:dyDescent="0.3">
      <c r="A3078" s="98" t="s">
        <v>199</v>
      </c>
      <c r="B3078" s="98">
        <v>2007</v>
      </c>
      <c r="C3078" s="98">
        <v>1</v>
      </c>
    </row>
    <row r="3079" spans="1:3" x14ac:dyDescent="0.3">
      <c r="A3079" s="98" t="s">
        <v>199</v>
      </c>
      <c r="B3079" s="98">
        <v>2008</v>
      </c>
      <c r="C3079" s="98">
        <v>1</v>
      </c>
    </row>
    <row r="3080" spans="1:3" x14ac:dyDescent="0.3">
      <c r="A3080" s="98" t="s">
        <v>199</v>
      </c>
      <c r="B3080" s="98">
        <v>2009</v>
      </c>
      <c r="C3080" s="98">
        <v>1</v>
      </c>
    </row>
    <row r="3081" spans="1:3" x14ac:dyDescent="0.3">
      <c r="A3081" s="98" t="s">
        <v>199</v>
      </c>
      <c r="B3081" s="98">
        <v>2010</v>
      </c>
      <c r="C3081" s="98">
        <v>1</v>
      </c>
    </row>
    <row r="3082" spans="1:3" x14ac:dyDescent="0.3">
      <c r="A3082" s="98" t="s">
        <v>199</v>
      </c>
      <c r="B3082" s="98">
        <v>2011</v>
      </c>
      <c r="C3082" s="98">
        <v>1</v>
      </c>
    </row>
    <row r="3083" spans="1:3" x14ac:dyDescent="0.3">
      <c r="A3083" s="98" t="s">
        <v>199</v>
      </c>
      <c r="B3083" s="98">
        <v>2012</v>
      </c>
      <c r="C3083" s="98">
        <v>1</v>
      </c>
    </row>
    <row r="3084" spans="1:3" x14ac:dyDescent="0.3">
      <c r="A3084" s="98" t="s">
        <v>199</v>
      </c>
      <c r="B3084" s="98">
        <v>2013</v>
      </c>
      <c r="C3084" s="98">
        <v>1</v>
      </c>
    </row>
    <row r="3085" spans="1:3" x14ac:dyDescent="0.3">
      <c r="A3085" s="98" t="s">
        <v>199</v>
      </c>
      <c r="B3085" s="98">
        <v>2014</v>
      </c>
      <c r="C3085" s="98">
        <v>1</v>
      </c>
    </row>
    <row r="3086" spans="1:3" x14ac:dyDescent="0.3">
      <c r="A3086" s="98" t="s">
        <v>199</v>
      </c>
      <c r="B3086" s="98">
        <v>2015</v>
      </c>
      <c r="C3086" s="98">
        <v>1</v>
      </c>
    </row>
    <row r="3087" spans="1:3" x14ac:dyDescent="0.3">
      <c r="A3087" s="98" t="s">
        <v>199</v>
      </c>
      <c r="B3087" s="98">
        <v>2016</v>
      </c>
      <c r="C3087" s="98">
        <v>1</v>
      </c>
    </row>
    <row r="3088" spans="1:3" x14ac:dyDescent="0.3">
      <c r="A3088" s="98" t="s">
        <v>199</v>
      </c>
      <c r="B3088" s="98">
        <v>2017</v>
      </c>
      <c r="C3088" s="98">
        <v>1</v>
      </c>
    </row>
    <row r="3089" spans="1:3" x14ac:dyDescent="0.3">
      <c r="A3089" s="98" t="s">
        <v>199</v>
      </c>
      <c r="B3089" s="98">
        <v>2018</v>
      </c>
      <c r="C3089" s="98">
        <v>1</v>
      </c>
    </row>
    <row r="3090" spans="1:3" x14ac:dyDescent="0.3">
      <c r="A3090" s="98" t="s">
        <v>199</v>
      </c>
      <c r="B3090" s="98">
        <v>2019</v>
      </c>
      <c r="C3090" s="98">
        <v>1</v>
      </c>
    </row>
    <row r="3091" spans="1:3" x14ac:dyDescent="0.3">
      <c r="A3091" s="98" t="s">
        <v>199</v>
      </c>
      <c r="B3091" s="98">
        <v>2020</v>
      </c>
      <c r="C3091" s="98">
        <v>1</v>
      </c>
    </row>
    <row r="3092" spans="1:3" x14ac:dyDescent="0.3">
      <c r="A3092" s="98" t="s">
        <v>199</v>
      </c>
      <c r="B3092" s="98">
        <v>2021</v>
      </c>
      <c r="C3092" s="98">
        <v>1</v>
      </c>
    </row>
    <row r="3093" spans="1:3" x14ac:dyDescent="0.3">
      <c r="A3093" s="98" t="s">
        <v>199</v>
      </c>
      <c r="B3093" s="98">
        <v>2022</v>
      </c>
      <c r="C3093" s="98">
        <v>1</v>
      </c>
    </row>
    <row r="3094" spans="1:3" x14ac:dyDescent="0.3">
      <c r="A3094" s="98" t="s">
        <v>200</v>
      </c>
      <c r="B3094" s="98">
        <v>2001</v>
      </c>
      <c r="C3094" s="98">
        <v>1</v>
      </c>
    </row>
    <row r="3095" spans="1:3" x14ac:dyDescent="0.3">
      <c r="A3095" s="98" t="s">
        <v>200</v>
      </c>
      <c r="B3095" s="98">
        <v>2002</v>
      </c>
      <c r="C3095" s="98">
        <v>1</v>
      </c>
    </row>
    <row r="3096" spans="1:3" x14ac:dyDescent="0.3">
      <c r="A3096" s="98" t="s">
        <v>200</v>
      </c>
      <c r="B3096" s="98">
        <v>2003</v>
      </c>
      <c r="C3096" s="98">
        <v>1</v>
      </c>
    </row>
    <row r="3097" spans="1:3" x14ac:dyDescent="0.3">
      <c r="A3097" s="98" t="s">
        <v>200</v>
      </c>
      <c r="B3097" s="98">
        <v>2004</v>
      </c>
      <c r="C3097" s="98">
        <v>1</v>
      </c>
    </row>
    <row r="3098" spans="1:3" x14ac:dyDescent="0.3">
      <c r="A3098" s="98" t="s">
        <v>200</v>
      </c>
      <c r="B3098" s="98">
        <v>2005</v>
      </c>
      <c r="C3098" s="98">
        <v>1</v>
      </c>
    </row>
    <row r="3099" spans="1:3" x14ac:dyDescent="0.3">
      <c r="A3099" s="98" t="s">
        <v>200</v>
      </c>
      <c r="B3099" s="98">
        <v>2006</v>
      </c>
      <c r="C3099" s="98">
        <v>1</v>
      </c>
    </row>
    <row r="3100" spans="1:3" x14ac:dyDescent="0.3">
      <c r="A3100" s="98" t="s">
        <v>200</v>
      </c>
      <c r="B3100" s="98">
        <v>2007</v>
      </c>
      <c r="C3100" s="98">
        <v>1</v>
      </c>
    </row>
    <row r="3101" spans="1:3" x14ac:dyDescent="0.3">
      <c r="A3101" s="98" t="s">
        <v>200</v>
      </c>
      <c r="B3101" s="98">
        <v>2008</v>
      </c>
      <c r="C3101" s="98">
        <v>1</v>
      </c>
    </row>
    <row r="3102" spans="1:3" x14ac:dyDescent="0.3">
      <c r="A3102" s="98" t="s">
        <v>200</v>
      </c>
      <c r="B3102" s="98">
        <v>2009</v>
      </c>
      <c r="C3102" s="98">
        <v>1</v>
      </c>
    </row>
    <row r="3103" spans="1:3" x14ac:dyDescent="0.3">
      <c r="A3103" s="98" t="s">
        <v>200</v>
      </c>
      <c r="B3103" s="98">
        <v>2010</v>
      </c>
      <c r="C3103" s="98">
        <v>1</v>
      </c>
    </row>
    <row r="3104" spans="1:3" x14ac:dyDescent="0.3">
      <c r="A3104" s="98" t="s">
        <v>200</v>
      </c>
      <c r="B3104" s="98">
        <v>2011</v>
      </c>
      <c r="C3104" s="98">
        <v>1</v>
      </c>
    </row>
    <row r="3105" spans="1:3" x14ac:dyDescent="0.3">
      <c r="A3105" s="98" t="s">
        <v>200</v>
      </c>
      <c r="B3105" s="98">
        <v>2012</v>
      </c>
      <c r="C3105" s="98">
        <v>1</v>
      </c>
    </row>
    <row r="3106" spans="1:3" x14ac:dyDescent="0.3">
      <c r="A3106" s="98" t="s">
        <v>200</v>
      </c>
      <c r="B3106" s="98">
        <v>2013</v>
      </c>
      <c r="C3106" s="98">
        <v>1</v>
      </c>
    </row>
    <row r="3107" spans="1:3" x14ac:dyDescent="0.3">
      <c r="A3107" s="98" t="s">
        <v>200</v>
      </c>
      <c r="B3107" s="98">
        <v>2014</v>
      </c>
      <c r="C3107" s="98">
        <v>1</v>
      </c>
    </row>
    <row r="3108" spans="1:3" x14ac:dyDescent="0.3">
      <c r="A3108" s="98" t="s">
        <v>200</v>
      </c>
      <c r="B3108" s="98">
        <v>2015</v>
      </c>
      <c r="C3108" s="98">
        <v>1</v>
      </c>
    </row>
    <row r="3109" spans="1:3" x14ac:dyDescent="0.3">
      <c r="A3109" s="98" t="s">
        <v>200</v>
      </c>
      <c r="B3109" s="98">
        <v>2016</v>
      </c>
      <c r="C3109" s="98">
        <v>1</v>
      </c>
    </row>
    <row r="3110" spans="1:3" x14ac:dyDescent="0.3">
      <c r="A3110" s="98" t="s">
        <v>200</v>
      </c>
      <c r="B3110" s="98">
        <v>2017</v>
      </c>
      <c r="C3110" s="98">
        <v>1</v>
      </c>
    </row>
    <row r="3111" spans="1:3" x14ac:dyDescent="0.3">
      <c r="A3111" s="98" t="s">
        <v>200</v>
      </c>
      <c r="B3111" s="98">
        <v>2018</v>
      </c>
      <c r="C3111" s="98">
        <v>1</v>
      </c>
    </row>
    <row r="3112" spans="1:3" x14ac:dyDescent="0.3">
      <c r="A3112" s="98" t="s">
        <v>200</v>
      </c>
      <c r="B3112" s="98">
        <v>2019</v>
      </c>
      <c r="C3112" s="98">
        <v>1</v>
      </c>
    </row>
    <row r="3113" spans="1:3" x14ac:dyDescent="0.3">
      <c r="A3113" s="98" t="s">
        <v>200</v>
      </c>
      <c r="B3113" s="98">
        <v>2020</v>
      </c>
      <c r="C3113" s="98">
        <v>1</v>
      </c>
    </row>
    <row r="3114" spans="1:3" x14ac:dyDescent="0.3">
      <c r="A3114" s="98" t="s">
        <v>200</v>
      </c>
      <c r="B3114" s="98">
        <v>2021</v>
      </c>
      <c r="C3114" s="98">
        <v>1</v>
      </c>
    </row>
    <row r="3115" spans="1:3" x14ac:dyDescent="0.3">
      <c r="A3115" s="98" t="s">
        <v>200</v>
      </c>
      <c r="B3115" s="98">
        <v>2022</v>
      </c>
      <c r="C3115" s="98">
        <v>1</v>
      </c>
    </row>
    <row r="3116" spans="1:3" x14ac:dyDescent="0.3">
      <c r="A3116" s="98" t="s">
        <v>201</v>
      </c>
      <c r="B3116" s="98">
        <v>2001</v>
      </c>
      <c r="C3116" s="98">
        <v>3.7622271999999999</v>
      </c>
    </row>
    <row r="3117" spans="1:3" x14ac:dyDescent="0.3">
      <c r="A3117" s="98" t="s">
        <v>201</v>
      </c>
      <c r="B3117" s="98">
        <v>2002</v>
      </c>
      <c r="C3117" s="98">
        <v>4.0192926</v>
      </c>
    </row>
    <row r="3118" spans="1:3" x14ac:dyDescent="0.3">
      <c r="A3118" s="98" t="s">
        <v>201</v>
      </c>
      <c r="B3118" s="98">
        <v>2003</v>
      </c>
      <c r="C3118" s="98">
        <v>3.3333333000000001</v>
      </c>
    </row>
    <row r="3119" spans="1:3" x14ac:dyDescent="0.3">
      <c r="A3119" s="98" t="s">
        <v>201</v>
      </c>
      <c r="B3119" s="98">
        <v>2004</v>
      </c>
      <c r="C3119" s="98">
        <v>3.125</v>
      </c>
    </row>
    <row r="3120" spans="1:3" x14ac:dyDescent="0.3">
      <c r="A3120" s="98" t="s">
        <v>201</v>
      </c>
      <c r="B3120" s="98">
        <v>2005</v>
      </c>
      <c r="C3120" s="98">
        <v>3.0959751999999998</v>
      </c>
    </row>
    <row r="3121" spans="1:3" x14ac:dyDescent="0.3">
      <c r="A3121" s="98" t="s">
        <v>201</v>
      </c>
      <c r="B3121" s="98">
        <v>2006</v>
      </c>
      <c r="C3121" s="98">
        <v>3.030303</v>
      </c>
    </row>
    <row r="3122" spans="1:3" x14ac:dyDescent="0.3">
      <c r="A3122" s="98" t="s">
        <v>201</v>
      </c>
      <c r="B3122" s="98">
        <v>2007</v>
      </c>
      <c r="C3122" s="98">
        <v>2.8368793999999999</v>
      </c>
    </row>
    <row r="3123" spans="1:3" x14ac:dyDescent="0.3">
      <c r="A3123" s="98" t="s">
        <v>201</v>
      </c>
      <c r="B3123" s="98">
        <v>2008</v>
      </c>
      <c r="C3123" s="98">
        <v>2.6773761999999999</v>
      </c>
    </row>
    <row r="3124" spans="1:3" x14ac:dyDescent="0.3">
      <c r="A3124" s="98" t="s">
        <v>201</v>
      </c>
      <c r="B3124" s="98">
        <v>2009</v>
      </c>
      <c r="C3124" s="98">
        <v>2.7027000000000001</v>
      </c>
    </row>
    <row r="3125" spans="1:3" x14ac:dyDescent="0.3">
      <c r="A3125" s="98" t="s">
        <v>201</v>
      </c>
      <c r="B3125" s="98">
        <v>2010</v>
      </c>
      <c r="C3125" s="98">
        <v>2.6419999999999999</v>
      </c>
    </row>
    <row r="3126" spans="1:3" x14ac:dyDescent="0.3">
      <c r="A3126" s="98" t="s">
        <v>201</v>
      </c>
      <c r="B3126" s="98">
        <v>2011</v>
      </c>
      <c r="C3126" s="98">
        <v>2.1436226999999999</v>
      </c>
    </row>
    <row r="3127" spans="1:3" x14ac:dyDescent="0.3">
      <c r="A3127" s="98" t="s">
        <v>201</v>
      </c>
      <c r="B3127" s="98">
        <v>2012</v>
      </c>
      <c r="C3127" s="98">
        <v>2.1030494000000002</v>
      </c>
    </row>
    <row r="3128" spans="1:3" x14ac:dyDescent="0.3">
      <c r="A3128" s="98" t="s">
        <v>201</v>
      </c>
      <c r="B3128" s="98">
        <v>2013</v>
      </c>
      <c r="C3128" s="98">
        <v>2.4213</v>
      </c>
    </row>
    <row r="3129" spans="1:3" x14ac:dyDescent="0.3">
      <c r="A3129" s="98" t="s">
        <v>201</v>
      </c>
      <c r="B3129" s="98">
        <v>2014</v>
      </c>
      <c r="C3129" s="98">
        <v>2.5939999999999999</v>
      </c>
    </row>
    <row r="3130" spans="1:3" x14ac:dyDescent="0.3">
      <c r="A3130" s="98" t="s">
        <v>201</v>
      </c>
      <c r="B3130" s="98">
        <v>2015</v>
      </c>
      <c r="C3130" s="98">
        <v>3.0074999999999998</v>
      </c>
    </row>
    <row r="3131" spans="1:3" x14ac:dyDescent="0.3">
      <c r="A3131" s="98" t="s">
        <v>201</v>
      </c>
      <c r="B3131" s="98">
        <v>2016</v>
      </c>
      <c r="C3131" s="98">
        <v>3.1745999999999999</v>
      </c>
    </row>
    <row r="3132" spans="1:3" x14ac:dyDescent="0.3">
      <c r="A3132" s="98" t="s">
        <v>201</v>
      </c>
      <c r="B3132" s="98">
        <v>2017</v>
      </c>
      <c r="C3132" s="98">
        <v>3.2310178000000001</v>
      </c>
    </row>
    <row r="3133" spans="1:3" x14ac:dyDescent="0.3">
      <c r="A3133" s="98" t="s">
        <v>201</v>
      </c>
      <c r="B3133" s="98">
        <v>2018</v>
      </c>
      <c r="C3133" s="98">
        <v>3.3670034000000002</v>
      </c>
    </row>
    <row r="3134" spans="1:3" x14ac:dyDescent="0.3">
      <c r="A3134" s="98" t="s">
        <v>201</v>
      </c>
      <c r="B3134" s="98">
        <v>2019</v>
      </c>
      <c r="C3134" s="98">
        <v>3.4071549999999999</v>
      </c>
    </row>
    <row r="3135" spans="1:3" x14ac:dyDescent="0.3">
      <c r="A3135" s="98" t="s">
        <v>201</v>
      </c>
      <c r="B3135" s="98">
        <v>2020</v>
      </c>
      <c r="C3135" s="98">
        <v>3.5087719000000002</v>
      </c>
    </row>
    <row r="3136" spans="1:3" x14ac:dyDescent="0.3">
      <c r="A3136" s="98" t="s">
        <v>201</v>
      </c>
      <c r="B3136" s="98">
        <v>2021</v>
      </c>
      <c r="C3136" s="98">
        <v>3.5087719000000002</v>
      </c>
    </row>
    <row r="3137" spans="1:3" x14ac:dyDescent="0.3">
      <c r="A3137" s="98" t="s">
        <v>201</v>
      </c>
      <c r="B3137" s="98">
        <v>2022</v>
      </c>
    </row>
    <row r="3138" spans="1:3" x14ac:dyDescent="0.3">
      <c r="A3138" s="98" t="s">
        <v>202</v>
      </c>
      <c r="B3138" s="98">
        <v>2001</v>
      </c>
      <c r="C3138" s="98">
        <v>4682</v>
      </c>
    </row>
    <row r="3139" spans="1:3" x14ac:dyDescent="0.3">
      <c r="A3139" s="98" t="s">
        <v>202</v>
      </c>
      <c r="B3139" s="98">
        <v>2002</v>
      </c>
      <c r="C3139" s="98">
        <v>7103.59</v>
      </c>
    </row>
    <row r="3140" spans="1:3" x14ac:dyDescent="0.3">
      <c r="A3140" s="98" t="s">
        <v>202</v>
      </c>
      <c r="B3140" s="98">
        <v>2003</v>
      </c>
      <c r="C3140" s="98">
        <v>6114.96</v>
      </c>
    </row>
    <row r="3141" spans="1:3" x14ac:dyDescent="0.3">
      <c r="A3141" s="98" t="s">
        <v>202</v>
      </c>
      <c r="B3141" s="98">
        <v>2004</v>
      </c>
      <c r="C3141" s="98">
        <v>6250</v>
      </c>
    </row>
    <row r="3142" spans="1:3" x14ac:dyDescent="0.3">
      <c r="A3142" s="98" t="s">
        <v>202</v>
      </c>
      <c r="B3142" s="98">
        <v>2005</v>
      </c>
      <c r="C3142" s="98">
        <v>6120</v>
      </c>
    </row>
    <row r="3143" spans="1:3" x14ac:dyDescent="0.3">
      <c r="A3143" s="98" t="s">
        <v>202</v>
      </c>
      <c r="B3143" s="98">
        <v>2006</v>
      </c>
      <c r="C3143" s="98">
        <v>5190</v>
      </c>
    </row>
    <row r="3144" spans="1:3" x14ac:dyDescent="0.3">
      <c r="A3144" s="98" t="s">
        <v>202</v>
      </c>
      <c r="B3144" s="98">
        <v>2007</v>
      </c>
      <c r="C3144" s="98">
        <v>4875</v>
      </c>
    </row>
    <row r="3145" spans="1:3" x14ac:dyDescent="0.3">
      <c r="A3145" s="98" t="s">
        <v>202</v>
      </c>
      <c r="B3145" s="98">
        <v>2008</v>
      </c>
      <c r="C3145" s="98">
        <v>4945</v>
      </c>
    </row>
    <row r="3146" spans="1:3" x14ac:dyDescent="0.3">
      <c r="A3146" s="98" t="s">
        <v>202</v>
      </c>
      <c r="B3146" s="98">
        <v>2009</v>
      </c>
      <c r="C3146" s="98">
        <v>4610</v>
      </c>
    </row>
    <row r="3147" spans="1:3" x14ac:dyDescent="0.3">
      <c r="A3147" s="98" t="s">
        <v>202</v>
      </c>
      <c r="B3147" s="98">
        <v>2010</v>
      </c>
      <c r="C3147" s="98">
        <v>4565.3249999999998</v>
      </c>
    </row>
    <row r="3148" spans="1:3" x14ac:dyDescent="0.3">
      <c r="A3148" s="98" t="s">
        <v>202</v>
      </c>
      <c r="B3148" s="98">
        <v>2011</v>
      </c>
      <c r="C3148" s="98">
        <v>4491.9949999999999</v>
      </c>
    </row>
    <row r="3149" spans="1:3" x14ac:dyDescent="0.3">
      <c r="A3149" s="98" t="s">
        <v>202</v>
      </c>
      <c r="B3149" s="98">
        <v>2012</v>
      </c>
      <c r="C3149" s="98">
        <v>4238.0249999999996</v>
      </c>
    </row>
    <row r="3150" spans="1:3" x14ac:dyDescent="0.3">
      <c r="A3150" s="98" t="s">
        <v>202</v>
      </c>
      <c r="B3150" s="98">
        <v>2013</v>
      </c>
      <c r="C3150" s="98">
        <v>4598.1750000000002</v>
      </c>
    </row>
    <row r="3151" spans="1:3" x14ac:dyDescent="0.3">
      <c r="A3151" s="98" t="s">
        <v>202</v>
      </c>
      <c r="B3151" s="98">
        <v>2014</v>
      </c>
      <c r="C3151" s="98">
        <v>4635.7</v>
      </c>
    </row>
    <row r="3152" spans="1:3" x14ac:dyDescent="0.3">
      <c r="A3152" s="98" t="s">
        <v>202</v>
      </c>
      <c r="B3152" s="98">
        <v>2015</v>
      </c>
      <c r="C3152" s="98">
        <v>5806.915</v>
      </c>
    </row>
    <row r="3153" spans="1:3" x14ac:dyDescent="0.3">
      <c r="A3153" s="98" t="s">
        <v>202</v>
      </c>
      <c r="B3153" s="98">
        <v>2016</v>
      </c>
      <c r="C3153" s="98">
        <v>5766.93</v>
      </c>
    </row>
    <row r="3154" spans="1:3" x14ac:dyDescent="0.3">
      <c r="A3154" s="98" t="s">
        <v>202</v>
      </c>
      <c r="B3154" s="98">
        <v>2017</v>
      </c>
      <c r="C3154" s="98">
        <v>5590.4750000000004</v>
      </c>
    </row>
    <row r="3155" spans="1:3" x14ac:dyDescent="0.3">
      <c r="A3155" s="98" t="s">
        <v>202</v>
      </c>
      <c r="B3155" s="98">
        <v>2018</v>
      </c>
      <c r="C3155" s="98">
        <v>5960.54</v>
      </c>
    </row>
    <row r="3156" spans="1:3" x14ac:dyDescent="0.3">
      <c r="A3156" s="98" t="s">
        <v>202</v>
      </c>
      <c r="B3156" s="98">
        <v>2019</v>
      </c>
      <c r="C3156" s="98">
        <v>6453.14</v>
      </c>
    </row>
    <row r="3157" spans="1:3" x14ac:dyDescent="0.3">
      <c r="A3157" s="98" t="s">
        <v>202</v>
      </c>
      <c r="B3157" s="98">
        <v>2020</v>
      </c>
      <c r="C3157" s="98">
        <v>6916.8050000000003</v>
      </c>
    </row>
    <row r="3158" spans="1:3" x14ac:dyDescent="0.3">
      <c r="A3158" s="98" t="s">
        <v>202</v>
      </c>
      <c r="B3158" s="98">
        <v>2021</v>
      </c>
      <c r="C3158" s="98">
        <v>6879.1049999999996</v>
      </c>
    </row>
    <row r="3159" spans="1:3" x14ac:dyDescent="0.3">
      <c r="A3159" s="98" t="s">
        <v>202</v>
      </c>
      <c r="B3159" s="98">
        <v>2022</v>
      </c>
      <c r="C3159" s="98">
        <v>7331.26</v>
      </c>
    </row>
    <row r="3160" spans="1:3" x14ac:dyDescent="0.3">
      <c r="A3160" s="98" t="s">
        <v>203</v>
      </c>
      <c r="B3160" s="98">
        <v>2001</v>
      </c>
      <c r="C3160" s="98">
        <v>3.444</v>
      </c>
    </row>
    <row r="3161" spans="1:3" x14ac:dyDescent="0.3">
      <c r="A3161" s="98" t="s">
        <v>203</v>
      </c>
      <c r="B3161" s="98">
        <v>2002</v>
      </c>
      <c r="C3161" s="98">
        <v>3.5139999999999998</v>
      </c>
    </row>
    <row r="3162" spans="1:3" x14ac:dyDescent="0.3">
      <c r="A3162" s="98" t="s">
        <v>203</v>
      </c>
      <c r="B3162" s="98">
        <v>2003</v>
      </c>
      <c r="C3162" s="98">
        <v>3.4630000000000001</v>
      </c>
    </row>
    <row r="3163" spans="1:3" x14ac:dyDescent="0.3">
      <c r="A3163" s="98" t="s">
        <v>203</v>
      </c>
      <c r="B3163" s="98">
        <v>2004</v>
      </c>
      <c r="C3163" s="98">
        <v>3.2814999999999999</v>
      </c>
    </row>
    <row r="3164" spans="1:3" x14ac:dyDescent="0.3">
      <c r="A3164" s="98" t="s">
        <v>203</v>
      </c>
      <c r="B3164" s="98">
        <v>2005</v>
      </c>
      <c r="C3164" s="98">
        <v>3.43</v>
      </c>
    </row>
    <row r="3165" spans="1:3" x14ac:dyDescent="0.3">
      <c r="A3165" s="98" t="s">
        <v>203</v>
      </c>
      <c r="B3165" s="98">
        <v>2006</v>
      </c>
      <c r="C3165" s="98">
        <v>3.1955</v>
      </c>
    </row>
    <row r="3166" spans="1:3" x14ac:dyDescent="0.3">
      <c r="A3166" s="98" t="s">
        <v>203</v>
      </c>
      <c r="B3166" s="98">
        <v>2007</v>
      </c>
      <c r="C3166" s="98">
        <v>2.996</v>
      </c>
    </row>
    <row r="3167" spans="1:3" x14ac:dyDescent="0.3">
      <c r="A3167" s="98" t="s">
        <v>203</v>
      </c>
      <c r="B3167" s="98">
        <v>2008</v>
      </c>
      <c r="C3167" s="98">
        <v>3.1395</v>
      </c>
    </row>
    <row r="3168" spans="1:3" x14ac:dyDescent="0.3">
      <c r="A3168" s="98" t="s">
        <v>203</v>
      </c>
      <c r="B3168" s="98">
        <v>2009</v>
      </c>
      <c r="C3168" s="98">
        <v>2.8895</v>
      </c>
    </row>
    <row r="3169" spans="1:3" x14ac:dyDescent="0.3">
      <c r="A3169" s="98" t="s">
        <v>203</v>
      </c>
      <c r="B3169" s="98">
        <v>2010</v>
      </c>
      <c r="C3169" s="98">
        <v>2.8085</v>
      </c>
    </row>
    <row r="3170" spans="1:3" x14ac:dyDescent="0.3">
      <c r="A3170" s="98" t="s">
        <v>203</v>
      </c>
      <c r="B3170" s="98">
        <v>2011</v>
      </c>
      <c r="C3170" s="98">
        <v>2.6960000000000002</v>
      </c>
    </row>
    <row r="3171" spans="1:3" x14ac:dyDescent="0.3">
      <c r="A3171" s="98" t="s">
        <v>203</v>
      </c>
      <c r="B3171" s="98">
        <v>2012</v>
      </c>
      <c r="C3171" s="98">
        <v>2.5499999999999998</v>
      </c>
    </row>
    <row r="3172" spans="1:3" x14ac:dyDescent="0.3">
      <c r="A3172" s="98" t="s">
        <v>203</v>
      </c>
      <c r="B3172" s="98">
        <v>2013</v>
      </c>
      <c r="C3172" s="98">
        <v>2.7949999999999999</v>
      </c>
    </row>
    <row r="3173" spans="1:3" x14ac:dyDescent="0.3">
      <c r="A3173" s="98" t="s">
        <v>203</v>
      </c>
      <c r="B3173" s="98">
        <v>2014</v>
      </c>
      <c r="C3173" s="98">
        <v>2.9849999999999999</v>
      </c>
    </row>
    <row r="3174" spans="1:3" x14ac:dyDescent="0.3">
      <c r="A3174" s="98" t="s">
        <v>203</v>
      </c>
      <c r="B3174" s="98">
        <v>2015</v>
      </c>
      <c r="C3174" s="98">
        <v>3.4104999999999999</v>
      </c>
    </row>
    <row r="3175" spans="1:3" x14ac:dyDescent="0.3">
      <c r="A3175" s="98" t="s">
        <v>203</v>
      </c>
      <c r="B3175" s="98">
        <v>2016</v>
      </c>
      <c r="C3175" s="98">
        <v>3.3559999999999999</v>
      </c>
    </row>
    <row r="3176" spans="1:3" x14ac:dyDescent="0.3">
      <c r="A3176" s="98" t="s">
        <v>203</v>
      </c>
      <c r="B3176" s="98">
        <v>2017</v>
      </c>
      <c r="C3176" s="98">
        <v>3.2414999999999998</v>
      </c>
    </row>
    <row r="3177" spans="1:3" x14ac:dyDescent="0.3">
      <c r="A3177" s="98" t="s">
        <v>203</v>
      </c>
      <c r="B3177" s="98">
        <v>2018</v>
      </c>
      <c r="C3177" s="98">
        <v>3.3740000000000001</v>
      </c>
    </row>
    <row r="3178" spans="1:3" x14ac:dyDescent="0.3">
      <c r="A3178" s="98" t="s">
        <v>203</v>
      </c>
      <c r="B3178" s="98">
        <v>2019</v>
      </c>
      <c r="C3178" s="98">
        <v>3.3140000000000001</v>
      </c>
    </row>
    <row r="3179" spans="1:3" x14ac:dyDescent="0.3">
      <c r="A3179" s="98" t="s">
        <v>203</v>
      </c>
      <c r="B3179" s="98">
        <v>2020</v>
      </c>
      <c r="C3179" s="98">
        <v>3.621</v>
      </c>
    </row>
    <row r="3180" spans="1:3" x14ac:dyDescent="0.3">
      <c r="A3180" s="98" t="s">
        <v>203</v>
      </c>
      <c r="B3180" s="98">
        <v>2021</v>
      </c>
      <c r="C3180" s="98">
        <v>3.9870000000000001</v>
      </c>
    </row>
    <row r="3181" spans="1:3" x14ac:dyDescent="0.3">
      <c r="A3181" s="98" t="s">
        <v>203</v>
      </c>
      <c r="B3181" s="98">
        <v>2022</v>
      </c>
      <c r="C3181" s="98">
        <v>3.8140000000000001</v>
      </c>
    </row>
    <row r="3182" spans="1:3" x14ac:dyDescent="0.3">
      <c r="A3182" s="98" t="s">
        <v>204</v>
      </c>
      <c r="B3182" s="98">
        <v>2001</v>
      </c>
      <c r="C3182" s="98">
        <v>51.404000000000003</v>
      </c>
    </row>
    <row r="3183" spans="1:3" x14ac:dyDescent="0.3">
      <c r="A3183" s="98" t="s">
        <v>204</v>
      </c>
      <c r="B3183" s="98">
        <v>2002</v>
      </c>
      <c r="C3183" s="98">
        <v>53.095999999999997</v>
      </c>
    </row>
    <row r="3184" spans="1:3" x14ac:dyDescent="0.3">
      <c r="A3184" s="98" t="s">
        <v>204</v>
      </c>
      <c r="B3184" s="98">
        <v>2003</v>
      </c>
      <c r="C3184" s="98">
        <v>55.569000000000003</v>
      </c>
    </row>
    <row r="3185" spans="1:3" x14ac:dyDescent="0.3">
      <c r="A3185" s="98" t="s">
        <v>204</v>
      </c>
      <c r="B3185" s="98">
        <v>2004</v>
      </c>
      <c r="C3185" s="98">
        <v>56.267000000000003</v>
      </c>
    </row>
    <row r="3186" spans="1:3" x14ac:dyDescent="0.3">
      <c r="A3186" s="98" t="s">
        <v>204</v>
      </c>
      <c r="B3186" s="98">
        <v>2005</v>
      </c>
      <c r="C3186" s="98">
        <v>53.067</v>
      </c>
    </row>
    <row r="3187" spans="1:3" x14ac:dyDescent="0.3">
      <c r="A3187" s="98" t="s">
        <v>204</v>
      </c>
      <c r="B3187" s="98">
        <v>2006</v>
      </c>
      <c r="C3187" s="98">
        <v>49.131999999999998</v>
      </c>
    </row>
    <row r="3188" spans="1:3" x14ac:dyDescent="0.3">
      <c r="A3188" s="98" t="s">
        <v>204</v>
      </c>
      <c r="B3188" s="98">
        <v>2007</v>
      </c>
      <c r="C3188" s="98">
        <v>41.401000000000003</v>
      </c>
    </row>
    <row r="3189" spans="1:3" x14ac:dyDescent="0.3">
      <c r="A3189" s="98" t="s">
        <v>204</v>
      </c>
      <c r="B3189" s="98">
        <v>2008</v>
      </c>
      <c r="C3189" s="98">
        <v>47.484999999999999</v>
      </c>
    </row>
    <row r="3190" spans="1:3" x14ac:dyDescent="0.3">
      <c r="A3190" s="98" t="s">
        <v>204</v>
      </c>
      <c r="B3190" s="98">
        <v>2009</v>
      </c>
      <c r="C3190" s="98">
        <v>46.356000000000002</v>
      </c>
    </row>
    <row r="3191" spans="1:3" x14ac:dyDescent="0.3">
      <c r="A3191" s="98" t="s">
        <v>204</v>
      </c>
      <c r="B3191" s="98">
        <v>2010</v>
      </c>
      <c r="C3191" s="98">
        <v>43.884999999999998</v>
      </c>
    </row>
    <row r="3192" spans="1:3" x14ac:dyDescent="0.3">
      <c r="A3192" s="98" t="s">
        <v>204</v>
      </c>
      <c r="B3192" s="98">
        <v>2011</v>
      </c>
      <c r="C3192" s="98">
        <v>43.927999999999997</v>
      </c>
    </row>
    <row r="3193" spans="1:3" x14ac:dyDescent="0.3">
      <c r="A3193" s="98" t="s">
        <v>204</v>
      </c>
      <c r="B3193" s="98">
        <v>2012</v>
      </c>
      <c r="C3193" s="98">
        <v>41.192</v>
      </c>
    </row>
    <row r="3194" spans="1:3" x14ac:dyDescent="0.3">
      <c r="A3194" s="98" t="s">
        <v>204</v>
      </c>
      <c r="B3194" s="98">
        <v>2013</v>
      </c>
      <c r="C3194" s="98">
        <v>44.414000000000001</v>
      </c>
    </row>
    <row r="3195" spans="1:3" x14ac:dyDescent="0.3">
      <c r="A3195" s="98" t="s">
        <v>204</v>
      </c>
      <c r="B3195" s="98">
        <v>2014</v>
      </c>
      <c r="C3195" s="98">
        <v>44.616999999999997</v>
      </c>
    </row>
    <row r="3196" spans="1:3" x14ac:dyDescent="0.3">
      <c r="A3196" s="98" t="s">
        <v>204</v>
      </c>
      <c r="B3196" s="98">
        <v>2015</v>
      </c>
      <c r="C3196" s="98">
        <v>47.165999999999997</v>
      </c>
    </row>
    <row r="3197" spans="1:3" x14ac:dyDescent="0.3">
      <c r="A3197" s="98" t="s">
        <v>204</v>
      </c>
      <c r="B3197" s="98">
        <v>2016</v>
      </c>
      <c r="C3197" s="98">
        <v>49.813000000000002</v>
      </c>
    </row>
    <row r="3198" spans="1:3" x14ac:dyDescent="0.3">
      <c r="A3198" s="98" t="s">
        <v>204</v>
      </c>
      <c r="B3198" s="98">
        <v>2017</v>
      </c>
      <c r="C3198" s="98">
        <v>49.923000000000002</v>
      </c>
    </row>
    <row r="3199" spans="1:3" x14ac:dyDescent="0.3">
      <c r="A3199" s="98" t="s">
        <v>204</v>
      </c>
      <c r="B3199" s="98">
        <v>2018</v>
      </c>
      <c r="C3199" s="98">
        <v>52.723999999999997</v>
      </c>
    </row>
    <row r="3200" spans="1:3" x14ac:dyDescent="0.3">
      <c r="A3200" s="98" t="s">
        <v>204</v>
      </c>
      <c r="B3200" s="98">
        <v>2019</v>
      </c>
      <c r="C3200" s="98">
        <v>50.744</v>
      </c>
    </row>
    <row r="3201" spans="1:3" x14ac:dyDescent="0.3">
      <c r="A3201" s="98" t="s">
        <v>204</v>
      </c>
      <c r="B3201" s="98">
        <v>2020</v>
      </c>
      <c r="C3201" s="98">
        <v>48.036000000000001</v>
      </c>
    </row>
    <row r="3202" spans="1:3" x14ac:dyDescent="0.3">
      <c r="A3202" s="98" t="s">
        <v>204</v>
      </c>
      <c r="B3202" s="98">
        <v>2021</v>
      </c>
      <c r="C3202" s="98">
        <v>50.774000000000001</v>
      </c>
    </row>
    <row r="3203" spans="1:3" x14ac:dyDescent="0.3">
      <c r="A3203" s="98" t="s">
        <v>204</v>
      </c>
      <c r="B3203" s="98">
        <v>2022</v>
      </c>
      <c r="C3203" s="98">
        <v>56.12</v>
      </c>
    </row>
    <row r="3204" spans="1:3" x14ac:dyDescent="0.3">
      <c r="A3204" s="98" t="s">
        <v>205</v>
      </c>
      <c r="B3204" s="98">
        <v>2001</v>
      </c>
      <c r="C3204" s="98">
        <v>3.9863</v>
      </c>
    </row>
    <row r="3205" spans="1:3" x14ac:dyDescent="0.3">
      <c r="A3205" s="98" t="s">
        <v>205</v>
      </c>
      <c r="B3205" s="98">
        <v>2002</v>
      </c>
      <c r="C3205" s="98">
        <v>3.8388</v>
      </c>
    </row>
    <row r="3206" spans="1:3" x14ac:dyDescent="0.3">
      <c r="A3206" s="98" t="s">
        <v>205</v>
      </c>
      <c r="B3206" s="98">
        <v>2003</v>
      </c>
      <c r="C3206" s="98">
        <v>3.7408000000000001</v>
      </c>
    </row>
    <row r="3207" spans="1:3" x14ac:dyDescent="0.3">
      <c r="A3207" s="98" t="s">
        <v>205</v>
      </c>
      <c r="B3207" s="98">
        <v>2004</v>
      </c>
      <c r="C3207" s="98">
        <v>2.9904000000000002</v>
      </c>
    </row>
    <row r="3208" spans="1:3" x14ac:dyDescent="0.3">
      <c r="A3208" s="98" t="s">
        <v>205</v>
      </c>
      <c r="B3208" s="98">
        <v>2005</v>
      </c>
      <c r="C3208" s="98">
        <v>3.2612999999999999</v>
      </c>
    </row>
    <row r="3209" spans="1:3" x14ac:dyDescent="0.3">
      <c r="A3209" s="98" t="s">
        <v>205</v>
      </c>
      <c r="B3209" s="98">
        <v>2006</v>
      </c>
      <c r="C3209" s="98">
        <v>2.9104999999999999</v>
      </c>
    </row>
    <row r="3210" spans="1:3" x14ac:dyDescent="0.3">
      <c r="A3210" s="98" t="s">
        <v>205</v>
      </c>
      <c r="B3210" s="98">
        <v>2007</v>
      </c>
      <c r="C3210" s="98">
        <v>2.4350000000000001</v>
      </c>
    </row>
    <row r="3211" spans="1:3" x14ac:dyDescent="0.3">
      <c r="A3211" s="98" t="s">
        <v>205</v>
      </c>
      <c r="B3211" s="98">
        <v>2008</v>
      </c>
      <c r="C3211" s="98">
        <v>2.9618000000000002</v>
      </c>
    </row>
    <row r="3212" spans="1:3" x14ac:dyDescent="0.3">
      <c r="A3212" s="98" t="s">
        <v>205</v>
      </c>
      <c r="B3212" s="98">
        <v>2009</v>
      </c>
      <c r="C3212" s="98">
        <v>2.8502999999999998</v>
      </c>
    </row>
    <row r="3213" spans="1:3" x14ac:dyDescent="0.3">
      <c r="A3213" s="98" t="s">
        <v>205</v>
      </c>
      <c r="B3213" s="98">
        <v>2010</v>
      </c>
      <c r="C3213" s="98">
        <v>2.9641000000000002</v>
      </c>
    </row>
    <row r="3214" spans="1:3" x14ac:dyDescent="0.3">
      <c r="A3214" s="98" t="s">
        <v>205</v>
      </c>
      <c r="B3214" s="98">
        <v>2011</v>
      </c>
      <c r="C3214" s="98">
        <v>3.4174000000000002</v>
      </c>
    </row>
    <row r="3215" spans="1:3" x14ac:dyDescent="0.3">
      <c r="A3215" s="98" t="s">
        <v>205</v>
      </c>
      <c r="B3215" s="98">
        <v>2012</v>
      </c>
      <c r="C3215" s="98">
        <v>3.0996000000000001</v>
      </c>
    </row>
    <row r="3216" spans="1:3" x14ac:dyDescent="0.3">
      <c r="A3216" s="98" t="s">
        <v>205</v>
      </c>
      <c r="B3216" s="98">
        <v>2013</v>
      </c>
      <c r="C3216" s="98">
        <v>3.012</v>
      </c>
    </row>
    <row r="3217" spans="1:3" x14ac:dyDescent="0.3">
      <c r="A3217" s="98" t="s">
        <v>205</v>
      </c>
      <c r="B3217" s="98">
        <v>2014</v>
      </c>
      <c r="C3217" s="98">
        <v>3.5072000000000001</v>
      </c>
    </row>
    <row r="3218" spans="1:3" x14ac:dyDescent="0.3">
      <c r="A3218" s="98" t="s">
        <v>205</v>
      </c>
      <c r="B3218" s="98">
        <v>2015</v>
      </c>
      <c r="C3218" s="98">
        <v>3.9011</v>
      </c>
    </row>
    <row r="3219" spans="1:3" x14ac:dyDescent="0.3">
      <c r="A3219" s="98" t="s">
        <v>205</v>
      </c>
      <c r="B3219" s="98">
        <v>2016</v>
      </c>
      <c r="C3219" s="98">
        <v>4.1792999999999996</v>
      </c>
    </row>
    <row r="3220" spans="1:3" x14ac:dyDescent="0.3">
      <c r="A3220" s="98" t="s">
        <v>205</v>
      </c>
      <c r="B3220" s="98">
        <v>2017</v>
      </c>
      <c r="C3220" s="98">
        <v>3.4813000000000001</v>
      </c>
    </row>
    <row r="3221" spans="1:3" x14ac:dyDescent="0.3">
      <c r="A3221" s="98" t="s">
        <v>205</v>
      </c>
      <c r="B3221" s="98">
        <v>2018</v>
      </c>
      <c r="C3221" s="98">
        <v>3.7597</v>
      </c>
    </row>
    <row r="3222" spans="1:3" x14ac:dyDescent="0.3">
      <c r="A3222" s="98" t="s">
        <v>205</v>
      </c>
      <c r="B3222" s="98">
        <v>2019</v>
      </c>
      <c r="C3222" s="98">
        <v>3.7976999999999999</v>
      </c>
    </row>
    <row r="3223" spans="1:3" x14ac:dyDescent="0.3">
      <c r="A3223" s="98" t="s">
        <v>205</v>
      </c>
      <c r="B3223" s="98">
        <v>2020</v>
      </c>
      <c r="C3223" s="98">
        <v>3.7584</v>
      </c>
    </row>
    <row r="3224" spans="1:3" x14ac:dyDescent="0.3">
      <c r="A3224" s="98" t="s">
        <v>205</v>
      </c>
      <c r="B3224" s="98">
        <v>2021</v>
      </c>
      <c r="C3224" s="98">
        <v>4.0599999999999996</v>
      </c>
    </row>
    <row r="3225" spans="1:3" x14ac:dyDescent="0.3">
      <c r="A3225" s="98" t="s">
        <v>205</v>
      </c>
      <c r="B3225" s="98">
        <v>2022</v>
      </c>
      <c r="C3225" s="98">
        <v>4.4017999999999997</v>
      </c>
    </row>
    <row r="3226" spans="1:3" x14ac:dyDescent="0.3">
      <c r="A3226" s="98" t="s">
        <v>206</v>
      </c>
      <c r="B3226" s="98">
        <v>2001</v>
      </c>
      <c r="C3226" s="98">
        <v>3.64</v>
      </c>
    </row>
    <row r="3227" spans="1:3" x14ac:dyDescent="0.3">
      <c r="A3227" s="98" t="s">
        <v>206</v>
      </c>
      <c r="B3227" s="98">
        <v>2002</v>
      </c>
      <c r="C3227" s="98">
        <v>3.64</v>
      </c>
    </row>
    <row r="3228" spans="1:3" x14ac:dyDescent="0.3">
      <c r="A3228" s="98" t="s">
        <v>206</v>
      </c>
      <c r="B3228" s="98">
        <v>2003</v>
      </c>
      <c r="C3228" s="98">
        <v>3.64</v>
      </c>
    </row>
    <row r="3229" spans="1:3" x14ac:dyDescent="0.3">
      <c r="A3229" s="98" t="s">
        <v>206</v>
      </c>
      <c r="B3229" s="98">
        <v>2004</v>
      </c>
      <c r="C3229" s="98">
        <v>3.64</v>
      </c>
    </row>
    <row r="3230" spans="1:3" x14ac:dyDescent="0.3">
      <c r="A3230" s="98" t="s">
        <v>206</v>
      </c>
      <c r="B3230" s="98">
        <v>2005</v>
      </c>
      <c r="C3230" s="98">
        <v>3.64</v>
      </c>
    </row>
    <row r="3231" spans="1:3" x14ac:dyDescent="0.3">
      <c r="A3231" s="98" t="s">
        <v>206</v>
      </c>
      <c r="B3231" s="98">
        <v>2006</v>
      </c>
      <c r="C3231" s="98">
        <v>3.64</v>
      </c>
    </row>
    <row r="3232" spans="1:3" x14ac:dyDescent="0.3">
      <c r="A3232" s="98" t="s">
        <v>206</v>
      </c>
      <c r="B3232" s="98">
        <v>2007</v>
      </c>
      <c r="C3232" s="98">
        <v>3.64</v>
      </c>
    </row>
    <row r="3233" spans="1:3" x14ac:dyDescent="0.3">
      <c r="A3233" s="98" t="s">
        <v>206</v>
      </c>
      <c r="B3233" s="98">
        <v>2008</v>
      </c>
      <c r="C3233" s="98">
        <v>3.64</v>
      </c>
    </row>
    <row r="3234" spans="1:3" x14ac:dyDescent="0.3">
      <c r="A3234" s="98" t="s">
        <v>206</v>
      </c>
      <c r="B3234" s="98">
        <v>2009</v>
      </c>
      <c r="C3234" s="98">
        <v>3.64</v>
      </c>
    </row>
    <row r="3235" spans="1:3" x14ac:dyDescent="0.3">
      <c r="A3235" s="98" t="s">
        <v>206</v>
      </c>
      <c r="B3235" s="98">
        <v>2010</v>
      </c>
      <c r="C3235" s="98">
        <v>3.64</v>
      </c>
    </row>
    <row r="3236" spans="1:3" x14ac:dyDescent="0.3">
      <c r="A3236" s="98" t="s">
        <v>206</v>
      </c>
      <c r="B3236" s="98">
        <v>2011</v>
      </c>
      <c r="C3236" s="98">
        <v>3.64</v>
      </c>
    </row>
    <row r="3237" spans="1:3" x14ac:dyDescent="0.3">
      <c r="A3237" s="98" t="s">
        <v>206</v>
      </c>
      <c r="B3237" s="98">
        <v>2012</v>
      </c>
      <c r="C3237" s="98">
        <v>3.64</v>
      </c>
    </row>
    <row r="3238" spans="1:3" x14ac:dyDescent="0.3">
      <c r="A3238" s="98" t="s">
        <v>206</v>
      </c>
      <c r="B3238" s="98">
        <v>2013</v>
      </c>
      <c r="C3238" s="98">
        <v>3.64</v>
      </c>
    </row>
    <row r="3239" spans="1:3" x14ac:dyDescent="0.3">
      <c r="A3239" s="98" t="s">
        <v>206</v>
      </c>
      <c r="B3239" s="98">
        <v>2014</v>
      </c>
      <c r="C3239" s="98">
        <v>3.64</v>
      </c>
    </row>
    <row r="3240" spans="1:3" x14ac:dyDescent="0.3">
      <c r="A3240" s="98" t="s">
        <v>206</v>
      </c>
      <c r="B3240" s="98">
        <v>2015</v>
      </c>
      <c r="C3240" s="98">
        <v>3.64</v>
      </c>
    </row>
    <row r="3241" spans="1:3" x14ac:dyDescent="0.3">
      <c r="A3241" s="98" t="s">
        <v>206</v>
      </c>
      <c r="B3241" s="98">
        <v>2016</v>
      </c>
      <c r="C3241" s="98">
        <v>3.64</v>
      </c>
    </row>
    <row r="3242" spans="1:3" x14ac:dyDescent="0.3">
      <c r="A3242" s="98" t="s">
        <v>206</v>
      </c>
      <c r="B3242" s="98">
        <v>2017</v>
      </c>
      <c r="C3242" s="98">
        <v>3.64</v>
      </c>
    </row>
    <row r="3243" spans="1:3" x14ac:dyDescent="0.3">
      <c r="A3243" s="98" t="s">
        <v>206</v>
      </c>
      <c r="B3243" s="98">
        <v>2018</v>
      </c>
      <c r="C3243" s="98">
        <v>3.64</v>
      </c>
    </row>
    <row r="3244" spans="1:3" x14ac:dyDescent="0.3">
      <c r="A3244" s="98" t="s">
        <v>206</v>
      </c>
      <c r="B3244" s="98">
        <v>2019</v>
      </c>
      <c r="C3244" s="98">
        <v>3.64</v>
      </c>
    </row>
    <row r="3245" spans="1:3" x14ac:dyDescent="0.3">
      <c r="A3245" s="98" t="s">
        <v>206</v>
      </c>
      <c r="B3245" s="98">
        <v>2020</v>
      </c>
      <c r="C3245" s="98">
        <v>3.64</v>
      </c>
    </row>
    <row r="3246" spans="1:3" x14ac:dyDescent="0.3">
      <c r="A3246" s="98" t="s">
        <v>206</v>
      </c>
      <c r="B3246" s="98">
        <v>2021</v>
      </c>
      <c r="C3246" s="98">
        <v>3.64</v>
      </c>
    </row>
    <row r="3247" spans="1:3" x14ac:dyDescent="0.3">
      <c r="A3247" s="98" t="s">
        <v>206</v>
      </c>
      <c r="B3247" s="98">
        <v>2022</v>
      </c>
      <c r="C3247" s="98">
        <v>3.64</v>
      </c>
    </row>
    <row r="3248" spans="1:3" x14ac:dyDescent="0.3">
      <c r="A3248" s="98" t="s">
        <v>207</v>
      </c>
      <c r="B3248" s="98">
        <v>2001</v>
      </c>
      <c r="C3248" s="98">
        <v>3.1597</v>
      </c>
    </row>
    <row r="3249" spans="1:3" x14ac:dyDescent="0.3">
      <c r="A3249" s="98" t="s">
        <v>207</v>
      </c>
      <c r="B3249" s="98">
        <v>2002</v>
      </c>
      <c r="C3249" s="98">
        <v>3.35</v>
      </c>
    </row>
    <row r="3250" spans="1:3" x14ac:dyDescent="0.3">
      <c r="A3250" s="98" t="s">
        <v>207</v>
      </c>
      <c r="B3250" s="98">
        <v>2003</v>
      </c>
      <c r="C3250" s="98">
        <v>3.2595000000000001</v>
      </c>
    </row>
    <row r="3251" spans="1:3" x14ac:dyDescent="0.3">
      <c r="A3251" s="98" t="s">
        <v>207</v>
      </c>
      <c r="B3251" s="98">
        <v>2004</v>
      </c>
      <c r="C3251" s="98">
        <v>2.9066999999999998</v>
      </c>
    </row>
    <row r="3252" spans="1:3" x14ac:dyDescent="0.3">
      <c r="A3252" s="98" t="s">
        <v>207</v>
      </c>
      <c r="B3252" s="98">
        <v>2005</v>
      </c>
      <c r="C3252" s="98">
        <v>3.1078000000000001</v>
      </c>
    </row>
    <row r="3253" spans="1:3" x14ac:dyDescent="0.3">
      <c r="A3253" s="98" t="s">
        <v>207</v>
      </c>
      <c r="B3253" s="98">
        <v>2006</v>
      </c>
      <c r="C3253" s="98">
        <v>2.5676000000000001</v>
      </c>
    </row>
    <row r="3254" spans="1:3" x14ac:dyDescent="0.3">
      <c r="A3254" s="98" t="s">
        <v>207</v>
      </c>
      <c r="B3254" s="98">
        <v>2007</v>
      </c>
      <c r="C3254" s="98">
        <v>2.4563999999999999</v>
      </c>
    </row>
    <row r="3255" spans="1:3" x14ac:dyDescent="0.3">
      <c r="A3255" s="98" t="s">
        <v>207</v>
      </c>
      <c r="B3255" s="98">
        <v>2008</v>
      </c>
      <c r="C3255" s="98">
        <v>2.8342000000000001</v>
      </c>
    </row>
    <row r="3256" spans="1:3" x14ac:dyDescent="0.3">
      <c r="A3256" s="98" t="s">
        <v>207</v>
      </c>
      <c r="B3256" s="98">
        <v>2009</v>
      </c>
      <c r="C3256" s="98">
        <v>2.9361000000000002</v>
      </c>
    </row>
    <row r="3257" spans="1:3" x14ac:dyDescent="0.3">
      <c r="A3257" s="98" t="s">
        <v>207</v>
      </c>
      <c r="B3257" s="98">
        <v>2010</v>
      </c>
      <c r="C3257" s="98">
        <v>3.2044999999999999</v>
      </c>
    </row>
    <row r="3258" spans="1:3" x14ac:dyDescent="0.3">
      <c r="A3258" s="98" t="s">
        <v>207</v>
      </c>
      <c r="B3258" s="98">
        <v>2011</v>
      </c>
      <c r="C3258" s="98">
        <v>3.3393000000000002</v>
      </c>
    </row>
    <row r="3259" spans="1:3" x14ac:dyDescent="0.3">
      <c r="A3259" s="98" t="s">
        <v>207</v>
      </c>
      <c r="B3259" s="98">
        <v>2012</v>
      </c>
      <c r="C3259" s="98">
        <v>3.3574999999999999</v>
      </c>
    </row>
    <row r="3260" spans="1:3" x14ac:dyDescent="0.3">
      <c r="A3260" s="98" t="s">
        <v>207</v>
      </c>
      <c r="B3260" s="98">
        <v>2013</v>
      </c>
      <c r="C3260" s="98">
        <v>3.2551000000000001</v>
      </c>
    </row>
    <row r="3261" spans="1:3" x14ac:dyDescent="0.3">
      <c r="A3261" s="98" t="s">
        <v>207</v>
      </c>
      <c r="B3261" s="98">
        <v>2014</v>
      </c>
      <c r="C3261" s="98">
        <v>3.6867999999999999</v>
      </c>
    </row>
    <row r="3262" spans="1:3" x14ac:dyDescent="0.3">
      <c r="A3262" s="98" t="s">
        <v>207</v>
      </c>
      <c r="B3262" s="98">
        <v>2015</v>
      </c>
      <c r="C3262" s="98">
        <v>4.1477000000000004</v>
      </c>
    </row>
    <row r="3263" spans="1:3" x14ac:dyDescent="0.3">
      <c r="A3263" s="98" t="s">
        <v>207</v>
      </c>
      <c r="B3263" s="98">
        <v>2016</v>
      </c>
      <c r="C3263" s="98">
        <v>4.3033000000000001</v>
      </c>
    </row>
    <row r="3264" spans="1:3" x14ac:dyDescent="0.3">
      <c r="A3264" s="98" t="s">
        <v>207</v>
      </c>
      <c r="B3264" s="98">
        <v>2017</v>
      </c>
      <c r="C3264" s="98">
        <v>3.8915000000000002</v>
      </c>
    </row>
    <row r="3265" spans="1:3" x14ac:dyDescent="0.3">
      <c r="A3265" s="98" t="s">
        <v>207</v>
      </c>
      <c r="B3265" s="98">
        <v>2018</v>
      </c>
      <c r="C3265" s="98">
        <v>4.0735999999999999</v>
      </c>
    </row>
    <row r="3266" spans="1:3" x14ac:dyDescent="0.3">
      <c r="A3266" s="98" t="s">
        <v>207</v>
      </c>
      <c r="B3266" s="98">
        <v>2019</v>
      </c>
      <c r="C3266" s="98">
        <v>4.2607999999999997</v>
      </c>
    </row>
    <row r="3267" spans="1:3" x14ac:dyDescent="0.3">
      <c r="A3267" s="98" t="s">
        <v>207</v>
      </c>
      <c r="B3267" s="98">
        <v>2020</v>
      </c>
      <c r="C3267" s="98">
        <v>3.9660000000000002</v>
      </c>
    </row>
    <row r="3268" spans="1:3" x14ac:dyDescent="0.3">
      <c r="A3268" s="98" t="s">
        <v>207</v>
      </c>
      <c r="B3268" s="98">
        <v>2021</v>
      </c>
      <c r="C3268" s="98">
        <v>4.3707000000000003</v>
      </c>
    </row>
    <row r="3269" spans="1:3" x14ac:dyDescent="0.3">
      <c r="A3269" s="98" t="s">
        <v>207</v>
      </c>
      <c r="B3269" s="98">
        <v>2022</v>
      </c>
      <c r="C3269" s="98">
        <v>4.6345999999999998</v>
      </c>
    </row>
    <row r="3270" spans="1:3" x14ac:dyDescent="0.3">
      <c r="A3270" s="98" t="s">
        <v>208</v>
      </c>
      <c r="B3270" s="98">
        <v>2001</v>
      </c>
      <c r="C3270" s="98">
        <v>30.14</v>
      </c>
    </row>
    <row r="3271" spans="1:3" x14ac:dyDescent="0.3">
      <c r="A3271" s="98" t="s">
        <v>208</v>
      </c>
      <c r="B3271" s="98">
        <v>2002</v>
      </c>
      <c r="C3271" s="98">
        <v>31.784400000000002</v>
      </c>
    </row>
    <row r="3272" spans="1:3" x14ac:dyDescent="0.3">
      <c r="A3272" s="98" t="s">
        <v>208</v>
      </c>
      <c r="B3272" s="98">
        <v>2003</v>
      </c>
      <c r="C3272" s="98">
        <v>29.454499999999999</v>
      </c>
    </row>
    <row r="3273" spans="1:3" x14ac:dyDescent="0.3">
      <c r="A3273" s="98" t="s">
        <v>208</v>
      </c>
      <c r="B3273" s="98">
        <v>2004</v>
      </c>
      <c r="C3273" s="98">
        <v>27.748699999999999</v>
      </c>
    </row>
    <row r="3274" spans="1:3" x14ac:dyDescent="0.3">
      <c r="A3274" s="98" t="s">
        <v>208</v>
      </c>
      <c r="B3274" s="98">
        <v>2005</v>
      </c>
      <c r="C3274" s="98">
        <v>28.782499999999999</v>
      </c>
    </row>
    <row r="3275" spans="1:3" x14ac:dyDescent="0.3">
      <c r="A3275" s="98" t="s">
        <v>208</v>
      </c>
      <c r="B3275" s="98">
        <v>2006</v>
      </c>
      <c r="C3275" s="98">
        <v>26.331099999999999</v>
      </c>
    </row>
    <row r="3276" spans="1:3" x14ac:dyDescent="0.3">
      <c r="A3276" s="98" t="s">
        <v>208</v>
      </c>
      <c r="B3276" s="98">
        <v>2007</v>
      </c>
      <c r="C3276" s="98">
        <v>24.546199999999999</v>
      </c>
    </row>
    <row r="3277" spans="1:3" x14ac:dyDescent="0.3">
      <c r="A3277" s="98" t="s">
        <v>208</v>
      </c>
      <c r="B3277" s="98">
        <v>2008</v>
      </c>
      <c r="C3277" s="98">
        <v>29.380400000000002</v>
      </c>
    </row>
    <row r="3278" spans="1:3" x14ac:dyDescent="0.3">
      <c r="A3278" s="98" t="s">
        <v>208</v>
      </c>
      <c r="B3278" s="98">
        <v>2009</v>
      </c>
      <c r="C3278" s="98">
        <v>30.244199999999999</v>
      </c>
    </row>
    <row r="3279" spans="1:3" x14ac:dyDescent="0.3">
      <c r="A3279" s="98" t="s">
        <v>208</v>
      </c>
      <c r="B3279" s="98">
        <v>2010</v>
      </c>
      <c r="C3279" s="98">
        <v>30.476900000000001</v>
      </c>
    </row>
    <row r="3280" spans="1:3" x14ac:dyDescent="0.3">
      <c r="A3280" s="98" t="s">
        <v>208</v>
      </c>
      <c r="B3280" s="98">
        <v>2011</v>
      </c>
      <c r="C3280" s="98">
        <v>32.196100000000001</v>
      </c>
    </row>
    <row r="3281" spans="1:3" x14ac:dyDescent="0.3">
      <c r="A3281" s="98" t="s">
        <v>208</v>
      </c>
      <c r="B3281" s="98">
        <v>2012</v>
      </c>
      <c r="C3281" s="98">
        <v>30.372699999999998</v>
      </c>
    </row>
    <row r="3282" spans="1:3" x14ac:dyDescent="0.3">
      <c r="A3282" s="98" t="s">
        <v>208</v>
      </c>
      <c r="B3282" s="98">
        <v>2013</v>
      </c>
      <c r="C3282" s="98">
        <v>32.729199999999999</v>
      </c>
    </row>
    <row r="3283" spans="1:3" x14ac:dyDescent="0.3">
      <c r="A3283" s="98" t="s">
        <v>208</v>
      </c>
      <c r="B3283" s="98">
        <v>2014</v>
      </c>
      <c r="C3283" s="98">
        <v>56.258400000000002</v>
      </c>
    </row>
    <row r="3284" spans="1:3" x14ac:dyDescent="0.3">
      <c r="A3284" s="98" t="s">
        <v>208</v>
      </c>
      <c r="B3284" s="98">
        <v>2015</v>
      </c>
      <c r="C3284" s="98">
        <v>72.8827</v>
      </c>
    </row>
    <row r="3285" spans="1:3" x14ac:dyDescent="0.3">
      <c r="A3285" s="98" t="s">
        <v>208</v>
      </c>
      <c r="B3285" s="98">
        <v>2016</v>
      </c>
      <c r="C3285" s="98">
        <v>60.6569</v>
      </c>
    </row>
    <row r="3286" spans="1:3" x14ac:dyDescent="0.3">
      <c r="A3286" s="98" t="s">
        <v>208</v>
      </c>
      <c r="B3286" s="98">
        <v>2017</v>
      </c>
      <c r="C3286" s="98">
        <v>57.600200000000001</v>
      </c>
    </row>
    <row r="3287" spans="1:3" x14ac:dyDescent="0.3">
      <c r="A3287" s="98" t="s">
        <v>208</v>
      </c>
      <c r="B3287" s="98">
        <v>2018</v>
      </c>
      <c r="C3287" s="98">
        <v>69.470600000000005</v>
      </c>
    </row>
    <row r="3288" spans="1:3" x14ac:dyDescent="0.3">
      <c r="A3288" s="98" t="s">
        <v>208</v>
      </c>
      <c r="B3288" s="98">
        <v>2019</v>
      </c>
      <c r="C3288" s="98">
        <v>61.905700000000003</v>
      </c>
    </row>
    <row r="3289" spans="1:3" x14ac:dyDescent="0.3">
      <c r="A3289" s="98" t="s">
        <v>208</v>
      </c>
      <c r="B3289" s="98">
        <v>2020</v>
      </c>
      <c r="C3289" s="98">
        <v>73.875699999999995</v>
      </c>
    </row>
    <row r="3290" spans="1:3" x14ac:dyDescent="0.3">
      <c r="A3290" s="98" t="s">
        <v>208</v>
      </c>
      <c r="B3290" s="98">
        <v>2021</v>
      </c>
      <c r="C3290" s="98">
        <v>74.292599999999993</v>
      </c>
    </row>
    <row r="3291" spans="1:3" x14ac:dyDescent="0.3">
      <c r="A3291" s="98" t="s">
        <v>208</v>
      </c>
      <c r="B3291" s="98">
        <v>2022</v>
      </c>
      <c r="C3291" s="98">
        <v>70.337500000000006</v>
      </c>
    </row>
    <row r="3292" spans="1:3" x14ac:dyDescent="0.3">
      <c r="A3292" s="98" t="s">
        <v>209</v>
      </c>
      <c r="B3292" s="98">
        <v>2001</v>
      </c>
      <c r="C3292" s="98">
        <v>457.9</v>
      </c>
    </row>
    <row r="3293" spans="1:3" x14ac:dyDescent="0.3">
      <c r="A3293" s="98" t="s">
        <v>209</v>
      </c>
      <c r="B3293" s="98">
        <v>2002</v>
      </c>
      <c r="C3293" s="98">
        <v>511.85379999999998</v>
      </c>
    </row>
    <row r="3294" spans="1:3" x14ac:dyDescent="0.3">
      <c r="A3294" s="98" t="s">
        <v>209</v>
      </c>
      <c r="B3294" s="98">
        <v>2003</v>
      </c>
      <c r="C3294" s="98">
        <v>580.28</v>
      </c>
    </row>
    <row r="3295" spans="1:3" x14ac:dyDescent="0.3">
      <c r="A3295" s="98" t="s">
        <v>209</v>
      </c>
      <c r="B3295" s="98">
        <v>2004</v>
      </c>
      <c r="C3295" s="98">
        <v>566.86</v>
      </c>
    </row>
    <row r="3296" spans="1:3" x14ac:dyDescent="0.3">
      <c r="A3296" s="98" t="s">
        <v>209</v>
      </c>
      <c r="B3296" s="98">
        <v>2005</v>
      </c>
      <c r="C3296" s="98">
        <v>553.71870000000001</v>
      </c>
    </row>
    <row r="3297" spans="1:3" x14ac:dyDescent="0.3">
      <c r="A3297" s="98" t="s">
        <v>209</v>
      </c>
      <c r="B3297" s="98">
        <v>2006</v>
      </c>
      <c r="C3297" s="98">
        <v>548.65</v>
      </c>
    </row>
    <row r="3298" spans="1:3" x14ac:dyDescent="0.3">
      <c r="A3298" s="98" t="s">
        <v>209</v>
      </c>
      <c r="B3298" s="98">
        <v>2007</v>
      </c>
      <c r="C3298" s="98">
        <v>544.22028</v>
      </c>
    </row>
    <row r="3299" spans="1:3" x14ac:dyDescent="0.3">
      <c r="A3299" s="98" t="s">
        <v>209</v>
      </c>
      <c r="B3299" s="98">
        <v>2008</v>
      </c>
      <c r="C3299" s="98">
        <v>558.89750000000004</v>
      </c>
    </row>
    <row r="3300" spans="1:3" x14ac:dyDescent="0.3">
      <c r="A3300" s="98" t="s">
        <v>209</v>
      </c>
      <c r="B3300" s="98">
        <v>2009</v>
      </c>
      <c r="C3300" s="98">
        <v>571.24</v>
      </c>
    </row>
    <row r="3301" spans="1:3" x14ac:dyDescent="0.3">
      <c r="A3301" s="98" t="s">
        <v>209</v>
      </c>
      <c r="B3301" s="98">
        <v>2010</v>
      </c>
      <c r="C3301" s="98">
        <v>594.45000000000005</v>
      </c>
    </row>
    <row r="3302" spans="1:3" x14ac:dyDescent="0.3">
      <c r="A3302" s="98" t="s">
        <v>209</v>
      </c>
      <c r="B3302" s="98">
        <v>2011</v>
      </c>
      <c r="C3302" s="98">
        <v>604.14098000000001</v>
      </c>
    </row>
    <row r="3303" spans="1:3" x14ac:dyDescent="0.3">
      <c r="A3303" s="98" t="s">
        <v>209</v>
      </c>
      <c r="B3303" s="98">
        <v>2012</v>
      </c>
      <c r="C3303" s="98">
        <v>631.40662999999995</v>
      </c>
    </row>
    <row r="3304" spans="1:3" x14ac:dyDescent="0.3">
      <c r="A3304" s="98" t="s">
        <v>209</v>
      </c>
      <c r="B3304" s="98">
        <v>2013</v>
      </c>
      <c r="C3304" s="98">
        <v>670.07730000000004</v>
      </c>
    </row>
    <row r="3305" spans="1:3" x14ac:dyDescent="0.3">
      <c r="A3305" s="98" t="s">
        <v>209</v>
      </c>
      <c r="B3305" s="98">
        <v>2014</v>
      </c>
      <c r="C3305" s="98">
        <v>694.37419</v>
      </c>
    </row>
    <row r="3306" spans="1:3" x14ac:dyDescent="0.3">
      <c r="A3306" s="98" t="s">
        <v>209</v>
      </c>
      <c r="B3306" s="98">
        <v>2015</v>
      </c>
      <c r="C3306" s="98">
        <v>747.40688999999998</v>
      </c>
    </row>
    <row r="3307" spans="1:3" x14ac:dyDescent="0.3">
      <c r="A3307" s="98" t="s">
        <v>209</v>
      </c>
      <c r="B3307" s="98">
        <v>2016</v>
      </c>
      <c r="C3307" s="98">
        <v>819.78917000000001</v>
      </c>
    </row>
    <row r="3308" spans="1:3" x14ac:dyDescent="0.3">
      <c r="A3308" s="98" t="s">
        <v>209</v>
      </c>
      <c r="B3308" s="98">
        <v>2017</v>
      </c>
      <c r="C3308" s="98">
        <v>843.27332000000001</v>
      </c>
    </row>
    <row r="3309" spans="1:3" x14ac:dyDescent="0.3">
      <c r="A3309" s="98" t="s">
        <v>209</v>
      </c>
      <c r="B3309" s="98">
        <v>2018</v>
      </c>
      <c r="C3309" s="98">
        <v>879.10086999999999</v>
      </c>
    </row>
    <row r="3310" spans="1:3" x14ac:dyDescent="0.3">
      <c r="A3310" s="98" t="s">
        <v>209</v>
      </c>
      <c r="B3310" s="98">
        <v>2019</v>
      </c>
      <c r="C3310" s="98">
        <v>922.51743999999997</v>
      </c>
    </row>
    <row r="3311" spans="1:3" x14ac:dyDescent="0.3">
      <c r="A3311" s="98" t="s">
        <v>209</v>
      </c>
      <c r="B3311" s="98">
        <v>2020</v>
      </c>
      <c r="C3311" s="98">
        <v>972.47504000000004</v>
      </c>
    </row>
    <row r="3312" spans="1:3" x14ac:dyDescent="0.3">
      <c r="A3312" s="98" t="s">
        <v>209</v>
      </c>
      <c r="B3312" s="98">
        <v>2021</v>
      </c>
      <c r="C3312" s="98">
        <v>1009.6178</v>
      </c>
    </row>
    <row r="3313" spans="1:3" x14ac:dyDescent="0.3">
      <c r="A3313" s="98" t="s">
        <v>209</v>
      </c>
      <c r="B3313" s="98">
        <v>2022</v>
      </c>
      <c r="C3313" s="98">
        <v>1070.7123999999999</v>
      </c>
    </row>
    <row r="3314" spans="1:3" x14ac:dyDescent="0.3">
      <c r="A3314" s="98" t="s">
        <v>210</v>
      </c>
      <c r="B3314" s="98">
        <v>2001</v>
      </c>
      <c r="C3314" s="98">
        <v>3.5511363999999999</v>
      </c>
    </row>
    <row r="3315" spans="1:3" x14ac:dyDescent="0.3">
      <c r="A3315" s="98" t="s">
        <v>210</v>
      </c>
      <c r="B3315" s="98">
        <v>2002</v>
      </c>
      <c r="C3315" s="98">
        <v>3.2164682999999998</v>
      </c>
    </row>
    <row r="3316" spans="1:3" x14ac:dyDescent="0.3">
      <c r="A3316" s="98" t="s">
        <v>210</v>
      </c>
      <c r="B3316" s="98">
        <v>2003</v>
      </c>
      <c r="C3316" s="98">
        <v>2.7777778</v>
      </c>
    </row>
    <row r="3317" spans="1:3" x14ac:dyDescent="0.3">
      <c r="A3317" s="98" t="s">
        <v>210</v>
      </c>
      <c r="B3317" s="98">
        <v>2004</v>
      </c>
      <c r="C3317" s="98">
        <v>2.6730820999999998</v>
      </c>
    </row>
    <row r="3318" spans="1:3" x14ac:dyDescent="0.3">
      <c r="A3318" s="98" t="s">
        <v>210</v>
      </c>
      <c r="B3318" s="98">
        <v>2005</v>
      </c>
      <c r="C3318" s="98">
        <v>2.7639580000000001</v>
      </c>
    </row>
    <row r="3319" spans="1:3" x14ac:dyDescent="0.3">
      <c r="A3319" s="98" t="s">
        <v>210</v>
      </c>
      <c r="B3319" s="98">
        <v>2006</v>
      </c>
      <c r="C3319" s="98">
        <v>2.6852846000000001</v>
      </c>
    </row>
    <row r="3320" spans="1:3" x14ac:dyDescent="0.3">
      <c r="A3320" s="98" t="s">
        <v>210</v>
      </c>
      <c r="B3320" s="98">
        <v>2007</v>
      </c>
      <c r="C3320" s="98">
        <v>2.5581990000000001</v>
      </c>
    </row>
    <row r="3321" spans="1:3" x14ac:dyDescent="0.3">
      <c r="A3321" s="98" t="s">
        <v>210</v>
      </c>
      <c r="B3321" s="98">
        <v>2008</v>
      </c>
      <c r="C3321" s="98">
        <v>2.9044438000000001</v>
      </c>
    </row>
    <row r="3322" spans="1:3" x14ac:dyDescent="0.3">
      <c r="A3322" s="98" t="s">
        <v>210</v>
      </c>
      <c r="B3322" s="98">
        <v>2009</v>
      </c>
      <c r="C3322" s="98">
        <v>2.4937656000000001</v>
      </c>
    </row>
    <row r="3323" spans="1:3" x14ac:dyDescent="0.3">
      <c r="A3323" s="98" t="s">
        <v>210</v>
      </c>
      <c r="B3323" s="98">
        <v>2010</v>
      </c>
      <c r="C3323" s="98">
        <v>2.3364486000000002</v>
      </c>
    </row>
    <row r="3324" spans="1:3" x14ac:dyDescent="0.3">
      <c r="A3324" s="98" t="s">
        <v>210</v>
      </c>
      <c r="B3324" s="98">
        <v>2011</v>
      </c>
      <c r="C3324" s="98">
        <v>2.3551578000000002</v>
      </c>
    </row>
    <row r="3325" spans="1:3" x14ac:dyDescent="0.3">
      <c r="A3325" s="98" t="s">
        <v>210</v>
      </c>
      <c r="B3325" s="98">
        <v>2012</v>
      </c>
      <c r="C3325" s="98">
        <v>2.2810218999999998</v>
      </c>
    </row>
    <row r="3326" spans="1:3" x14ac:dyDescent="0.3">
      <c r="A3326" s="98" t="s">
        <v>210</v>
      </c>
      <c r="B3326" s="98">
        <v>2013</v>
      </c>
      <c r="C3326" s="98">
        <v>2.3441163</v>
      </c>
    </row>
    <row r="3327" spans="1:3" x14ac:dyDescent="0.3">
      <c r="A3327" s="98" t="s">
        <v>210</v>
      </c>
      <c r="B3327" s="98">
        <v>2014</v>
      </c>
      <c r="C3327" s="98">
        <v>2.4230676</v>
      </c>
    </row>
    <row r="3328" spans="1:3" x14ac:dyDescent="0.3">
      <c r="A3328" s="98" t="s">
        <v>210</v>
      </c>
      <c r="B3328" s="98">
        <v>2015</v>
      </c>
      <c r="C3328" s="98">
        <v>2.5967281</v>
      </c>
    </row>
    <row r="3329" spans="1:3" x14ac:dyDescent="0.3">
      <c r="A3329" s="98" t="s">
        <v>210</v>
      </c>
      <c r="B3329" s="98">
        <v>2016</v>
      </c>
      <c r="C3329" s="98">
        <v>2.5826446000000001</v>
      </c>
    </row>
    <row r="3330" spans="1:3" x14ac:dyDescent="0.3">
      <c r="A3330" s="98" t="s">
        <v>210</v>
      </c>
      <c r="B3330" s="98">
        <v>2017</v>
      </c>
      <c r="C3330" s="98">
        <v>2.5122472</v>
      </c>
    </row>
    <row r="3331" spans="1:3" x14ac:dyDescent="0.3">
      <c r="A3331" s="98" t="s">
        <v>210</v>
      </c>
      <c r="B3331" s="98">
        <v>2018</v>
      </c>
      <c r="C3331" s="98">
        <v>2.6226269000000002</v>
      </c>
    </row>
    <row r="3332" spans="1:3" x14ac:dyDescent="0.3">
      <c r="A3332" s="98" t="s">
        <v>210</v>
      </c>
      <c r="B3332" s="98">
        <v>2019</v>
      </c>
      <c r="C3332" s="98">
        <v>2.6267402</v>
      </c>
    </row>
    <row r="3333" spans="1:3" x14ac:dyDescent="0.3">
      <c r="A3333" s="98" t="s">
        <v>210</v>
      </c>
      <c r="B3333" s="98">
        <v>2020</v>
      </c>
      <c r="C3333" s="98">
        <v>2.5278059000000002</v>
      </c>
    </row>
    <row r="3334" spans="1:3" x14ac:dyDescent="0.3">
      <c r="A3334" s="98" t="s">
        <v>210</v>
      </c>
      <c r="B3334" s="98">
        <v>2021</v>
      </c>
      <c r="C3334" s="98">
        <v>2.6041666999999999</v>
      </c>
    </row>
    <row r="3335" spans="1:3" x14ac:dyDescent="0.3">
      <c r="A3335" s="98" t="s">
        <v>210</v>
      </c>
      <c r="B3335" s="98">
        <v>2022</v>
      </c>
      <c r="C3335" s="98">
        <v>2.7019723999999998</v>
      </c>
    </row>
    <row r="3336" spans="1:3" x14ac:dyDescent="0.3">
      <c r="A3336" s="98" t="s">
        <v>211</v>
      </c>
      <c r="B3336" s="98">
        <v>2001</v>
      </c>
      <c r="C3336" s="98">
        <v>1.1346874</v>
      </c>
    </row>
    <row r="3337" spans="1:3" x14ac:dyDescent="0.3">
      <c r="A3337" s="98" t="s">
        <v>211</v>
      </c>
      <c r="B3337" s="98">
        <v>2002</v>
      </c>
      <c r="C3337" s="98">
        <v>0.95356154999999998</v>
      </c>
    </row>
    <row r="3338" spans="1:3" x14ac:dyDescent="0.3">
      <c r="A3338" s="98" t="s">
        <v>211</v>
      </c>
      <c r="B3338" s="98">
        <v>2003</v>
      </c>
      <c r="C3338" s="98">
        <v>0.79176564000000005</v>
      </c>
    </row>
    <row r="3339" spans="1:3" x14ac:dyDescent="0.3">
      <c r="A3339" s="98" t="s">
        <v>211</v>
      </c>
      <c r="B3339" s="98">
        <v>2004</v>
      </c>
      <c r="C3339" s="98">
        <v>0.73416049000000005</v>
      </c>
    </row>
    <row r="3340" spans="1:3" x14ac:dyDescent="0.3">
      <c r="A3340" s="98" t="s">
        <v>211</v>
      </c>
      <c r="B3340" s="98">
        <v>2005</v>
      </c>
      <c r="C3340" s="98">
        <v>0.84767314000000005</v>
      </c>
    </row>
    <row r="3341" spans="1:3" x14ac:dyDescent="0.3">
      <c r="A3341" s="98" t="s">
        <v>211</v>
      </c>
      <c r="B3341" s="98">
        <v>2006</v>
      </c>
      <c r="C3341" s="98">
        <v>0.75930143999999999</v>
      </c>
    </row>
    <row r="3342" spans="1:3" x14ac:dyDescent="0.3">
      <c r="A3342" s="98" t="s">
        <v>211</v>
      </c>
      <c r="B3342" s="98">
        <v>2007</v>
      </c>
      <c r="C3342" s="98">
        <v>0.67930168000000002</v>
      </c>
    </row>
    <row r="3343" spans="1:3" x14ac:dyDescent="0.3">
      <c r="A3343" s="98" t="s">
        <v>211</v>
      </c>
      <c r="B3343" s="98">
        <v>2008</v>
      </c>
      <c r="C3343" s="98">
        <v>0.71854565999999997</v>
      </c>
    </row>
    <row r="3344" spans="1:3" x14ac:dyDescent="0.3">
      <c r="A3344" s="98" t="s">
        <v>211</v>
      </c>
      <c r="B3344" s="98">
        <v>2009</v>
      </c>
      <c r="C3344" s="98">
        <v>0.69415521000000002</v>
      </c>
    </row>
    <row r="3345" spans="1:3" x14ac:dyDescent="0.3">
      <c r="A3345" s="98" t="s">
        <v>211</v>
      </c>
      <c r="B3345" s="98">
        <v>2010</v>
      </c>
      <c r="C3345" s="98">
        <v>0.74839096000000005</v>
      </c>
    </row>
    <row r="3346" spans="1:3" x14ac:dyDescent="0.3">
      <c r="A3346" s="98" t="s">
        <v>211</v>
      </c>
      <c r="B3346" s="98">
        <v>2011</v>
      </c>
      <c r="C3346" s="98">
        <v>0.77285725000000005</v>
      </c>
    </row>
    <row r="3347" spans="1:3" x14ac:dyDescent="0.3">
      <c r="A3347" s="98" t="s">
        <v>211</v>
      </c>
      <c r="B3347" s="98">
        <v>2012</v>
      </c>
      <c r="C3347" s="98">
        <v>0.75792026999999995</v>
      </c>
    </row>
    <row r="3348" spans="1:3" x14ac:dyDescent="0.3">
      <c r="A3348" s="98" t="s">
        <v>211</v>
      </c>
      <c r="B3348" s="98">
        <v>2013</v>
      </c>
      <c r="C3348" s="98">
        <v>0.72511057999999995</v>
      </c>
    </row>
    <row r="3349" spans="1:3" x14ac:dyDescent="0.3">
      <c r="A3349" s="98" t="s">
        <v>211</v>
      </c>
      <c r="B3349" s="98">
        <v>2014</v>
      </c>
      <c r="C3349" s="98">
        <v>0.82365538000000005</v>
      </c>
    </row>
    <row r="3350" spans="1:3" x14ac:dyDescent="0.3">
      <c r="A3350" s="98" t="s">
        <v>211</v>
      </c>
      <c r="B3350" s="98">
        <v>2015</v>
      </c>
      <c r="C3350" s="98">
        <v>0.91852668000000004</v>
      </c>
    </row>
    <row r="3351" spans="1:3" x14ac:dyDescent="0.3">
      <c r="A3351" s="98" t="s">
        <v>211</v>
      </c>
      <c r="B3351" s="98">
        <v>2016</v>
      </c>
      <c r="C3351" s="98">
        <v>0.94867659999999998</v>
      </c>
    </row>
    <row r="3352" spans="1:3" x14ac:dyDescent="0.3">
      <c r="A3352" s="98" t="s">
        <v>211</v>
      </c>
      <c r="B3352" s="98">
        <v>2017</v>
      </c>
      <c r="C3352" s="98">
        <v>0.83381972999999998</v>
      </c>
    </row>
    <row r="3353" spans="1:3" x14ac:dyDescent="0.3">
      <c r="A3353" s="98" t="s">
        <v>211</v>
      </c>
      <c r="B3353" s="98">
        <v>2018</v>
      </c>
      <c r="C3353" s="98">
        <v>0.87336245000000001</v>
      </c>
    </row>
    <row r="3354" spans="1:3" x14ac:dyDescent="0.3">
      <c r="A3354" s="98" t="s">
        <v>211</v>
      </c>
      <c r="B3354" s="98">
        <v>2019</v>
      </c>
      <c r="C3354" s="98">
        <v>0.89015489000000003</v>
      </c>
    </row>
    <row r="3355" spans="1:3" x14ac:dyDescent="0.3">
      <c r="A3355" s="98" t="s">
        <v>211</v>
      </c>
      <c r="B3355" s="98">
        <v>2020</v>
      </c>
      <c r="C3355" s="98">
        <v>0.81492951000000002</v>
      </c>
    </row>
    <row r="3356" spans="1:3" x14ac:dyDescent="0.3">
      <c r="A3356" s="98" t="s">
        <v>211</v>
      </c>
      <c r="B3356" s="98">
        <v>2021</v>
      </c>
      <c r="C3356" s="98">
        <v>0.88292424999999997</v>
      </c>
    </row>
    <row r="3357" spans="1:3" x14ac:dyDescent="0.3">
      <c r="A3357" s="98" t="s">
        <v>211</v>
      </c>
      <c r="B3357" s="98">
        <v>2022</v>
      </c>
      <c r="C3357" s="98">
        <v>0.93755860000000002</v>
      </c>
    </row>
    <row r="3358" spans="1:3" x14ac:dyDescent="0.3">
      <c r="A3358" s="98" t="s">
        <v>212</v>
      </c>
      <c r="B3358" s="98">
        <v>2001</v>
      </c>
      <c r="C3358" s="98">
        <v>3.75</v>
      </c>
    </row>
    <row r="3359" spans="1:3" x14ac:dyDescent="0.3">
      <c r="A3359" s="98" t="s">
        <v>212</v>
      </c>
      <c r="B3359" s="98">
        <v>2002</v>
      </c>
      <c r="C3359" s="98">
        <v>3.75</v>
      </c>
    </row>
    <row r="3360" spans="1:3" x14ac:dyDescent="0.3">
      <c r="A3360" s="98" t="s">
        <v>212</v>
      </c>
      <c r="B3360" s="98">
        <v>2003</v>
      </c>
      <c r="C3360" s="98">
        <v>3.75</v>
      </c>
    </row>
    <row r="3361" spans="1:3" x14ac:dyDescent="0.3">
      <c r="A3361" s="98" t="s">
        <v>212</v>
      </c>
      <c r="B3361" s="98">
        <v>2004</v>
      </c>
      <c r="C3361" s="98">
        <v>3.75</v>
      </c>
    </row>
    <row r="3362" spans="1:3" x14ac:dyDescent="0.3">
      <c r="A3362" s="98" t="s">
        <v>212</v>
      </c>
      <c r="B3362" s="98">
        <v>2005</v>
      </c>
      <c r="C3362" s="98">
        <v>3.75</v>
      </c>
    </row>
    <row r="3363" spans="1:3" x14ac:dyDescent="0.3">
      <c r="A3363" s="98" t="s">
        <v>212</v>
      </c>
      <c r="B3363" s="98">
        <v>2006</v>
      </c>
      <c r="C3363" s="98">
        <v>3.75</v>
      </c>
    </row>
    <row r="3364" spans="1:3" x14ac:dyDescent="0.3">
      <c r="A3364" s="98" t="s">
        <v>212</v>
      </c>
      <c r="B3364" s="98">
        <v>2007</v>
      </c>
      <c r="C3364" s="98">
        <v>3.75</v>
      </c>
    </row>
    <row r="3365" spans="1:3" x14ac:dyDescent="0.3">
      <c r="A3365" s="98" t="s">
        <v>212</v>
      </c>
      <c r="B3365" s="98">
        <v>2008</v>
      </c>
      <c r="C3365" s="98">
        <v>3.75</v>
      </c>
    </row>
    <row r="3366" spans="1:3" x14ac:dyDescent="0.3">
      <c r="A3366" s="98" t="s">
        <v>212</v>
      </c>
      <c r="B3366" s="98">
        <v>2009</v>
      </c>
      <c r="C3366" s="98">
        <v>3.75</v>
      </c>
    </row>
    <row r="3367" spans="1:3" x14ac:dyDescent="0.3">
      <c r="A3367" s="98" t="s">
        <v>212</v>
      </c>
      <c r="B3367" s="98">
        <v>2010</v>
      </c>
      <c r="C3367" s="98">
        <v>3.75</v>
      </c>
    </row>
    <row r="3368" spans="1:3" x14ac:dyDescent="0.3">
      <c r="A3368" s="98" t="s">
        <v>212</v>
      </c>
      <c r="B3368" s="98">
        <v>2011</v>
      </c>
      <c r="C3368" s="98">
        <v>3.75</v>
      </c>
    </row>
    <row r="3369" spans="1:3" x14ac:dyDescent="0.3">
      <c r="A3369" s="98" t="s">
        <v>212</v>
      </c>
      <c r="B3369" s="98">
        <v>2012</v>
      </c>
      <c r="C3369" s="98">
        <v>3.75</v>
      </c>
    </row>
    <row r="3370" spans="1:3" x14ac:dyDescent="0.3">
      <c r="A3370" s="98" t="s">
        <v>212</v>
      </c>
      <c r="B3370" s="98">
        <v>2013</v>
      </c>
      <c r="C3370" s="98">
        <v>3.75</v>
      </c>
    </row>
    <row r="3371" spans="1:3" x14ac:dyDescent="0.3">
      <c r="A3371" s="98" t="s">
        <v>212</v>
      </c>
      <c r="B3371" s="98">
        <v>2014</v>
      </c>
      <c r="C3371" s="98">
        <v>3.75</v>
      </c>
    </row>
    <row r="3372" spans="1:3" x14ac:dyDescent="0.3">
      <c r="A3372" s="98" t="s">
        <v>212</v>
      </c>
      <c r="B3372" s="98">
        <v>2015</v>
      </c>
      <c r="C3372" s="98">
        <v>3.75</v>
      </c>
    </row>
    <row r="3373" spans="1:3" x14ac:dyDescent="0.3">
      <c r="A3373" s="98" t="s">
        <v>212</v>
      </c>
      <c r="B3373" s="98">
        <v>2016</v>
      </c>
      <c r="C3373" s="98">
        <v>3.75</v>
      </c>
    </row>
    <row r="3374" spans="1:3" x14ac:dyDescent="0.3">
      <c r="A3374" s="98" t="s">
        <v>212</v>
      </c>
      <c r="B3374" s="98">
        <v>2017</v>
      </c>
      <c r="C3374" s="98">
        <v>3.75</v>
      </c>
    </row>
    <row r="3375" spans="1:3" x14ac:dyDescent="0.3">
      <c r="A3375" s="98" t="s">
        <v>212</v>
      </c>
      <c r="B3375" s="98">
        <v>2018</v>
      </c>
      <c r="C3375" s="98">
        <v>3.75</v>
      </c>
    </row>
    <row r="3376" spans="1:3" x14ac:dyDescent="0.3">
      <c r="A3376" s="98" t="s">
        <v>212</v>
      </c>
      <c r="B3376" s="98">
        <v>2019</v>
      </c>
      <c r="C3376" s="98">
        <v>3.75</v>
      </c>
    </row>
    <row r="3377" spans="1:3" x14ac:dyDescent="0.3">
      <c r="A3377" s="98" t="s">
        <v>212</v>
      </c>
      <c r="B3377" s="98">
        <v>2020</v>
      </c>
      <c r="C3377" s="98">
        <v>3.75</v>
      </c>
    </row>
    <row r="3378" spans="1:3" x14ac:dyDescent="0.3">
      <c r="A3378" s="98" t="s">
        <v>212</v>
      </c>
      <c r="B3378" s="98">
        <v>2021</v>
      </c>
      <c r="C3378" s="98">
        <v>3.75</v>
      </c>
    </row>
    <row r="3379" spans="1:3" x14ac:dyDescent="0.3">
      <c r="A3379" s="98" t="s">
        <v>212</v>
      </c>
      <c r="B3379" s="98">
        <v>2022</v>
      </c>
      <c r="C3379" s="98">
        <v>3.75</v>
      </c>
    </row>
    <row r="3380" spans="1:3" x14ac:dyDescent="0.3">
      <c r="A3380" s="98" t="s">
        <v>213</v>
      </c>
      <c r="B3380" s="98">
        <v>2001</v>
      </c>
      <c r="C3380" s="98">
        <v>744.30614000000003</v>
      </c>
    </row>
    <row r="3381" spans="1:3" x14ac:dyDescent="0.3">
      <c r="A3381" s="98" t="s">
        <v>213</v>
      </c>
      <c r="B3381" s="98">
        <v>2002</v>
      </c>
      <c r="C3381" s="98">
        <v>625.49537999999995</v>
      </c>
    </row>
    <row r="3382" spans="1:3" x14ac:dyDescent="0.3">
      <c r="A3382" s="98" t="s">
        <v>213</v>
      </c>
      <c r="B3382" s="98">
        <v>2003</v>
      </c>
      <c r="C3382" s="98">
        <v>519.36420999999996</v>
      </c>
    </row>
    <row r="3383" spans="1:3" x14ac:dyDescent="0.3">
      <c r="A3383" s="98" t="s">
        <v>213</v>
      </c>
      <c r="B3383" s="98">
        <v>2004</v>
      </c>
      <c r="C3383" s="98">
        <v>481.57771000000002</v>
      </c>
    </row>
    <row r="3384" spans="1:3" x14ac:dyDescent="0.3">
      <c r="A3384" s="98" t="s">
        <v>213</v>
      </c>
      <c r="B3384" s="98">
        <v>2005</v>
      </c>
      <c r="C3384" s="98">
        <v>556.03713000000005</v>
      </c>
    </row>
    <row r="3385" spans="1:3" x14ac:dyDescent="0.3">
      <c r="A3385" s="98" t="s">
        <v>213</v>
      </c>
      <c r="B3385" s="98">
        <v>2006</v>
      </c>
      <c r="C3385" s="98">
        <v>498.06909999999999</v>
      </c>
    </row>
    <row r="3386" spans="1:3" x14ac:dyDescent="0.3">
      <c r="A3386" s="98" t="s">
        <v>213</v>
      </c>
      <c r="B3386" s="98">
        <v>2007</v>
      </c>
      <c r="C3386" s="98">
        <v>445.59269</v>
      </c>
    </row>
    <row r="3387" spans="1:3" x14ac:dyDescent="0.3">
      <c r="A3387" s="98" t="s">
        <v>213</v>
      </c>
      <c r="B3387" s="98">
        <v>2008</v>
      </c>
      <c r="C3387" s="98">
        <v>471.33506</v>
      </c>
    </row>
    <row r="3388" spans="1:3" x14ac:dyDescent="0.3">
      <c r="A3388" s="98" t="s">
        <v>213</v>
      </c>
      <c r="B3388" s="98">
        <v>2009</v>
      </c>
      <c r="C3388" s="98">
        <v>455.33596999999997</v>
      </c>
    </row>
    <row r="3389" spans="1:3" x14ac:dyDescent="0.3">
      <c r="A3389" s="98" t="s">
        <v>213</v>
      </c>
      <c r="B3389" s="98">
        <v>2010</v>
      </c>
      <c r="C3389" s="98">
        <v>490.91228999999998</v>
      </c>
    </row>
    <row r="3390" spans="1:3" x14ac:dyDescent="0.3">
      <c r="A3390" s="98" t="s">
        <v>213</v>
      </c>
      <c r="B3390" s="98">
        <v>2011</v>
      </c>
      <c r="C3390" s="98">
        <v>506.96113000000003</v>
      </c>
    </row>
    <row r="3391" spans="1:3" x14ac:dyDescent="0.3">
      <c r="A3391" s="98" t="s">
        <v>213</v>
      </c>
      <c r="B3391" s="98">
        <v>2012</v>
      </c>
      <c r="C3391" s="98">
        <v>497.16309999999999</v>
      </c>
    </row>
    <row r="3392" spans="1:3" x14ac:dyDescent="0.3">
      <c r="A3392" s="98" t="s">
        <v>213</v>
      </c>
      <c r="B3392" s="98">
        <v>2013</v>
      </c>
      <c r="C3392" s="98">
        <v>475.64136000000002</v>
      </c>
    </row>
    <row r="3393" spans="1:3" x14ac:dyDescent="0.3">
      <c r="A3393" s="98" t="s">
        <v>213</v>
      </c>
      <c r="B3393" s="98">
        <v>2014</v>
      </c>
      <c r="C3393" s="98">
        <v>540.28251</v>
      </c>
    </row>
    <row r="3394" spans="1:3" x14ac:dyDescent="0.3">
      <c r="A3394" s="98" t="s">
        <v>213</v>
      </c>
      <c r="B3394" s="98">
        <v>2015</v>
      </c>
      <c r="C3394" s="98">
        <v>602.51400999999998</v>
      </c>
    </row>
    <row r="3395" spans="1:3" x14ac:dyDescent="0.3">
      <c r="A3395" s="98" t="s">
        <v>213</v>
      </c>
      <c r="B3395" s="98">
        <v>2016</v>
      </c>
      <c r="C3395" s="98">
        <v>622.29105000000004</v>
      </c>
    </row>
    <row r="3396" spans="1:3" x14ac:dyDescent="0.3">
      <c r="A3396" s="98" t="s">
        <v>213</v>
      </c>
      <c r="B3396" s="98">
        <v>2017</v>
      </c>
      <c r="C3396" s="98">
        <v>546.94988999999998</v>
      </c>
    </row>
    <row r="3397" spans="1:3" x14ac:dyDescent="0.3">
      <c r="A3397" s="98" t="s">
        <v>213</v>
      </c>
      <c r="B3397" s="98">
        <v>2018</v>
      </c>
      <c r="C3397" s="98">
        <v>572.88820999999996</v>
      </c>
    </row>
    <row r="3398" spans="1:3" x14ac:dyDescent="0.3">
      <c r="A3398" s="98" t="s">
        <v>213</v>
      </c>
      <c r="B3398" s="98">
        <v>2019</v>
      </c>
      <c r="C3398" s="98">
        <v>583.90332999999998</v>
      </c>
    </row>
    <row r="3399" spans="1:3" x14ac:dyDescent="0.3">
      <c r="A3399" s="98" t="s">
        <v>213</v>
      </c>
      <c r="B3399" s="98">
        <v>2020</v>
      </c>
      <c r="C3399" s="98">
        <v>534.55871999999999</v>
      </c>
    </row>
    <row r="3400" spans="1:3" x14ac:dyDescent="0.3">
      <c r="A3400" s="98" t="s">
        <v>213</v>
      </c>
      <c r="B3400" s="98">
        <v>2021</v>
      </c>
      <c r="C3400" s="98">
        <v>579.16034000000002</v>
      </c>
    </row>
    <row r="3401" spans="1:3" x14ac:dyDescent="0.3">
      <c r="A3401" s="98" t="s">
        <v>213</v>
      </c>
      <c r="B3401" s="98">
        <v>2022</v>
      </c>
      <c r="C3401" s="98">
        <v>614.99811999999997</v>
      </c>
    </row>
    <row r="3402" spans="1:3" x14ac:dyDescent="0.3">
      <c r="A3402" s="98" t="s">
        <v>214</v>
      </c>
      <c r="B3402" s="98">
        <v>2001</v>
      </c>
      <c r="C3402" s="98">
        <v>67.670199999999994</v>
      </c>
    </row>
    <row r="3403" spans="1:3" x14ac:dyDescent="0.3">
      <c r="A3403" s="98" t="s">
        <v>214</v>
      </c>
      <c r="B3403" s="98">
        <v>2002</v>
      </c>
      <c r="C3403" s="98">
        <v>58.9848</v>
      </c>
    </row>
    <row r="3404" spans="1:3" x14ac:dyDescent="0.3">
      <c r="A3404" s="98" t="s">
        <v>214</v>
      </c>
      <c r="B3404" s="98">
        <v>2003</v>
      </c>
      <c r="C3404" s="98">
        <v>54.6372</v>
      </c>
    </row>
    <row r="3405" spans="1:3" x14ac:dyDescent="0.3">
      <c r="A3405" s="98" t="s">
        <v>214</v>
      </c>
      <c r="B3405" s="98">
        <v>2004</v>
      </c>
      <c r="C3405" s="98">
        <v>57.935499999999998</v>
      </c>
    </row>
    <row r="3406" spans="1:3" x14ac:dyDescent="0.3">
      <c r="A3406" s="98" t="s">
        <v>214</v>
      </c>
      <c r="B3406" s="98">
        <v>2005</v>
      </c>
      <c r="C3406" s="98">
        <v>72.218900000000005</v>
      </c>
    </row>
    <row r="3407" spans="1:3" x14ac:dyDescent="0.3">
      <c r="A3407" s="98" t="s">
        <v>214</v>
      </c>
      <c r="B3407" s="98">
        <v>2006</v>
      </c>
      <c r="C3407" s="98">
        <v>59.975700000000003</v>
      </c>
    </row>
    <row r="3408" spans="1:3" x14ac:dyDescent="0.3">
      <c r="A3408" s="98" t="s">
        <v>214</v>
      </c>
      <c r="B3408" s="98">
        <v>2007</v>
      </c>
      <c r="C3408" s="98">
        <v>53.726700000000001</v>
      </c>
    </row>
    <row r="3409" spans="1:3" x14ac:dyDescent="0.3">
      <c r="A3409" s="98" t="s">
        <v>214</v>
      </c>
      <c r="B3409" s="98">
        <v>2008</v>
      </c>
      <c r="C3409" s="98">
        <v>62.9</v>
      </c>
    </row>
    <row r="3410" spans="1:3" x14ac:dyDescent="0.3">
      <c r="A3410" s="98" t="s">
        <v>214</v>
      </c>
      <c r="B3410" s="98">
        <v>2009</v>
      </c>
      <c r="C3410" s="98">
        <v>66.728499999999997</v>
      </c>
    </row>
    <row r="3411" spans="1:3" x14ac:dyDescent="0.3">
      <c r="A3411" s="98" t="s">
        <v>214</v>
      </c>
      <c r="B3411" s="98">
        <v>2010</v>
      </c>
      <c r="C3411" s="98">
        <v>79.280199999999994</v>
      </c>
    </row>
    <row r="3412" spans="1:3" x14ac:dyDescent="0.3">
      <c r="A3412" s="98" t="s">
        <v>214</v>
      </c>
      <c r="B3412" s="98">
        <v>2011</v>
      </c>
      <c r="C3412" s="98">
        <v>80.866200000000006</v>
      </c>
    </row>
    <row r="3413" spans="1:3" x14ac:dyDescent="0.3">
      <c r="A3413" s="98" t="s">
        <v>214</v>
      </c>
      <c r="B3413" s="98">
        <v>2012</v>
      </c>
      <c r="C3413" s="98">
        <v>86.176299999999998</v>
      </c>
    </row>
    <row r="3414" spans="1:3" x14ac:dyDescent="0.3">
      <c r="A3414" s="98" t="s">
        <v>214</v>
      </c>
      <c r="B3414" s="98">
        <v>2013</v>
      </c>
      <c r="C3414" s="98">
        <v>83.128200000000007</v>
      </c>
    </row>
    <row r="3415" spans="1:3" x14ac:dyDescent="0.3">
      <c r="A3415" s="98" t="s">
        <v>214</v>
      </c>
      <c r="B3415" s="98">
        <v>2014</v>
      </c>
      <c r="C3415" s="98">
        <v>99.464100000000002</v>
      </c>
    </row>
    <row r="3416" spans="1:3" x14ac:dyDescent="0.3">
      <c r="A3416" s="98" t="s">
        <v>214</v>
      </c>
      <c r="B3416" s="98">
        <v>2015</v>
      </c>
      <c r="C3416" s="98">
        <v>111.24679999999999</v>
      </c>
    </row>
    <row r="3417" spans="1:3" x14ac:dyDescent="0.3">
      <c r="A3417" s="98" t="s">
        <v>214</v>
      </c>
      <c r="B3417" s="98">
        <v>2016</v>
      </c>
      <c r="C3417" s="98">
        <v>117.1353</v>
      </c>
    </row>
    <row r="3418" spans="1:3" x14ac:dyDescent="0.3">
      <c r="A3418" s="98" t="s">
        <v>214</v>
      </c>
      <c r="B3418" s="98">
        <v>2017</v>
      </c>
      <c r="C3418" s="98">
        <v>99.115499999999997</v>
      </c>
    </row>
    <row r="3419" spans="1:3" x14ac:dyDescent="0.3">
      <c r="A3419" s="98" t="s">
        <v>214</v>
      </c>
      <c r="B3419" s="98">
        <v>2018</v>
      </c>
      <c r="C3419" s="98">
        <v>103.38930000000001</v>
      </c>
    </row>
    <row r="3420" spans="1:3" x14ac:dyDescent="0.3">
      <c r="A3420" s="98" t="s">
        <v>214</v>
      </c>
      <c r="B3420" s="98">
        <v>2019</v>
      </c>
      <c r="C3420" s="98">
        <v>104.9186</v>
      </c>
    </row>
    <row r="3421" spans="1:3" x14ac:dyDescent="0.3">
      <c r="A3421" s="98" t="s">
        <v>214</v>
      </c>
      <c r="B3421" s="98">
        <v>2020</v>
      </c>
      <c r="C3421" s="98">
        <v>95.663700000000006</v>
      </c>
    </row>
    <row r="3422" spans="1:3" x14ac:dyDescent="0.3">
      <c r="A3422" s="98" t="s">
        <v>214</v>
      </c>
      <c r="B3422" s="98">
        <v>2021</v>
      </c>
      <c r="C3422" s="98">
        <v>103.92619999999999</v>
      </c>
    </row>
    <row r="3423" spans="1:3" x14ac:dyDescent="0.3">
      <c r="A3423" s="98" t="s">
        <v>214</v>
      </c>
      <c r="B3423" s="98">
        <v>2022</v>
      </c>
      <c r="C3423" s="98">
        <v>110.1515</v>
      </c>
    </row>
    <row r="3424" spans="1:3" x14ac:dyDescent="0.3">
      <c r="A3424" s="98" t="s">
        <v>215</v>
      </c>
      <c r="B3424" s="98">
        <v>2001</v>
      </c>
      <c r="C3424" s="98">
        <v>5.7522000000000002</v>
      </c>
    </row>
    <row r="3425" spans="1:3" x14ac:dyDescent="0.3">
      <c r="A3425" s="98" t="s">
        <v>215</v>
      </c>
      <c r="B3425" s="98">
        <v>2002</v>
      </c>
      <c r="C3425" s="98">
        <v>5.0549999999999997</v>
      </c>
    </row>
    <row r="3426" spans="1:3" x14ac:dyDescent="0.3">
      <c r="A3426" s="98" t="s">
        <v>215</v>
      </c>
      <c r="B3426" s="98">
        <v>2003</v>
      </c>
      <c r="C3426" s="98">
        <v>5.5</v>
      </c>
    </row>
    <row r="3427" spans="1:3" x14ac:dyDescent="0.3">
      <c r="A3427" s="98" t="s">
        <v>215</v>
      </c>
      <c r="B3427" s="98">
        <v>2004</v>
      </c>
      <c r="C3427" s="98">
        <v>5.5</v>
      </c>
    </row>
    <row r="3428" spans="1:3" x14ac:dyDescent="0.3">
      <c r="A3428" s="98" t="s">
        <v>215</v>
      </c>
      <c r="B3428" s="98">
        <v>2005</v>
      </c>
      <c r="C3428" s="98">
        <v>5.5</v>
      </c>
    </row>
    <row r="3429" spans="1:3" x14ac:dyDescent="0.3">
      <c r="A3429" s="98" t="s">
        <v>215</v>
      </c>
      <c r="B3429" s="98">
        <v>2006</v>
      </c>
      <c r="C3429" s="98">
        <v>5.7954999999999997</v>
      </c>
    </row>
    <row r="3430" spans="1:3" x14ac:dyDescent="0.3">
      <c r="A3430" s="98" t="s">
        <v>215</v>
      </c>
      <c r="B3430" s="98">
        <v>2007</v>
      </c>
      <c r="C3430" s="98">
        <v>7.9981</v>
      </c>
    </row>
    <row r="3431" spans="1:3" x14ac:dyDescent="0.3">
      <c r="A3431" s="98" t="s">
        <v>215</v>
      </c>
      <c r="B3431" s="98">
        <v>2008</v>
      </c>
      <c r="C3431" s="98">
        <v>16.573205000000002</v>
      </c>
    </row>
    <row r="3432" spans="1:3" x14ac:dyDescent="0.3">
      <c r="A3432" s="98" t="s">
        <v>215</v>
      </c>
      <c r="B3432" s="98">
        <v>2009</v>
      </c>
      <c r="C3432" s="98">
        <v>11.254644000000001</v>
      </c>
    </row>
    <row r="3433" spans="1:3" x14ac:dyDescent="0.3">
      <c r="A3433" s="98" t="s">
        <v>215</v>
      </c>
      <c r="B3433" s="98">
        <v>2010</v>
      </c>
      <c r="C3433" s="98">
        <v>12.148408</v>
      </c>
    </row>
    <row r="3434" spans="1:3" x14ac:dyDescent="0.3">
      <c r="A3434" s="98" t="s">
        <v>215</v>
      </c>
      <c r="B3434" s="98">
        <v>2011</v>
      </c>
      <c r="C3434" s="98">
        <v>13.724299999999999</v>
      </c>
    </row>
    <row r="3435" spans="1:3" x14ac:dyDescent="0.3">
      <c r="A3435" s="98" t="s">
        <v>215</v>
      </c>
      <c r="B3435" s="98">
        <v>2012</v>
      </c>
      <c r="C3435" s="98">
        <v>13.0017</v>
      </c>
    </row>
    <row r="3436" spans="1:3" x14ac:dyDescent="0.3">
      <c r="A3436" s="98" t="s">
        <v>215</v>
      </c>
      <c r="B3436" s="98">
        <v>2013</v>
      </c>
      <c r="C3436" s="98">
        <v>12.075749999999999</v>
      </c>
    </row>
    <row r="3437" spans="1:3" x14ac:dyDescent="0.3">
      <c r="A3437" s="98" t="s">
        <v>215</v>
      </c>
      <c r="B3437" s="98">
        <v>2014</v>
      </c>
      <c r="C3437" s="98">
        <v>14.0389</v>
      </c>
    </row>
    <row r="3438" spans="1:3" x14ac:dyDescent="0.3">
      <c r="A3438" s="98" t="s">
        <v>215</v>
      </c>
      <c r="B3438" s="98">
        <v>2015</v>
      </c>
      <c r="C3438" s="98">
        <v>13.1547</v>
      </c>
    </row>
    <row r="3439" spans="1:3" x14ac:dyDescent="0.3">
      <c r="A3439" s="98" t="s">
        <v>215</v>
      </c>
      <c r="B3439" s="98">
        <v>2016</v>
      </c>
      <c r="C3439" s="98">
        <v>13.505699999999999</v>
      </c>
    </row>
    <row r="3440" spans="1:3" x14ac:dyDescent="0.3">
      <c r="A3440" s="98" t="s">
        <v>215</v>
      </c>
      <c r="B3440" s="98">
        <v>2017</v>
      </c>
      <c r="C3440" s="98">
        <v>13.835699999999999</v>
      </c>
    </row>
    <row r="3441" spans="1:3" x14ac:dyDescent="0.3">
      <c r="A3441" s="98" t="s">
        <v>215</v>
      </c>
      <c r="B3441" s="98">
        <v>2018</v>
      </c>
      <c r="C3441" s="98">
        <v>14.0215</v>
      </c>
    </row>
    <row r="3442" spans="1:3" x14ac:dyDescent="0.3">
      <c r="A3442" s="98" t="s">
        <v>215</v>
      </c>
      <c r="B3442" s="98">
        <v>2019</v>
      </c>
      <c r="C3442" s="98">
        <v>14.0922</v>
      </c>
    </row>
    <row r="3443" spans="1:3" x14ac:dyDescent="0.3">
      <c r="A3443" s="98" t="s">
        <v>215</v>
      </c>
      <c r="B3443" s="98">
        <v>2020</v>
      </c>
      <c r="C3443" s="98">
        <v>21.6173</v>
      </c>
    </row>
    <row r="3444" spans="1:3" x14ac:dyDescent="0.3">
      <c r="A3444" s="98" t="s">
        <v>215</v>
      </c>
      <c r="B3444" s="98">
        <v>2021</v>
      </c>
      <c r="C3444" s="98">
        <v>14.6991</v>
      </c>
    </row>
    <row r="3445" spans="1:3" x14ac:dyDescent="0.3">
      <c r="A3445" s="98" t="s">
        <v>215</v>
      </c>
      <c r="B3445" s="98">
        <v>2022</v>
      </c>
      <c r="C3445" s="98">
        <v>14.124064000000001</v>
      </c>
    </row>
    <row r="3446" spans="1:3" x14ac:dyDescent="0.3">
      <c r="A3446" s="98" t="s">
        <v>216</v>
      </c>
      <c r="B3446" s="98">
        <v>2001</v>
      </c>
      <c r="C3446" s="98">
        <v>2.16127</v>
      </c>
    </row>
    <row r="3447" spans="1:3" x14ac:dyDescent="0.3">
      <c r="A3447" s="98" t="s">
        <v>216</v>
      </c>
      <c r="B3447" s="98">
        <v>2002</v>
      </c>
      <c r="C3447" s="98">
        <v>2.1917300000000002</v>
      </c>
    </row>
    <row r="3448" spans="1:3" x14ac:dyDescent="0.3">
      <c r="A3448" s="98" t="s">
        <v>216</v>
      </c>
      <c r="B3448" s="98">
        <v>2003</v>
      </c>
      <c r="C3448" s="98">
        <v>2.5621800000000001</v>
      </c>
    </row>
    <row r="3449" spans="1:3" x14ac:dyDescent="0.3">
      <c r="A3449" s="98" t="s">
        <v>216</v>
      </c>
      <c r="B3449" s="98">
        <v>2004</v>
      </c>
      <c r="C3449" s="98">
        <v>2.86049</v>
      </c>
    </row>
    <row r="3450" spans="1:3" x14ac:dyDescent="0.3">
      <c r="A3450" s="98" t="s">
        <v>216</v>
      </c>
      <c r="B3450" s="98">
        <v>2005</v>
      </c>
      <c r="C3450" s="98">
        <v>2.9325199999999998</v>
      </c>
    </row>
    <row r="3451" spans="1:3" x14ac:dyDescent="0.3">
      <c r="A3451" s="98" t="s">
        <v>216</v>
      </c>
      <c r="B3451" s="98">
        <v>2006</v>
      </c>
      <c r="C3451" s="98">
        <v>2.9739399999999998</v>
      </c>
    </row>
    <row r="3452" spans="1:3" x14ac:dyDescent="0.3">
      <c r="A3452" s="98" t="s">
        <v>216</v>
      </c>
      <c r="B3452" s="98">
        <v>2007</v>
      </c>
      <c r="C3452" s="98">
        <v>2.9775999999999998</v>
      </c>
    </row>
    <row r="3453" spans="1:3" x14ac:dyDescent="0.3">
      <c r="A3453" s="98" t="s">
        <v>216</v>
      </c>
      <c r="B3453" s="98">
        <v>2008</v>
      </c>
      <c r="C3453" s="98">
        <v>3.0422400000000001</v>
      </c>
    </row>
    <row r="3454" spans="1:3" x14ac:dyDescent="0.3">
      <c r="A3454" s="98" t="s">
        <v>216</v>
      </c>
      <c r="B3454" s="98">
        <v>2009</v>
      </c>
      <c r="C3454" s="98">
        <v>3.85568</v>
      </c>
    </row>
    <row r="3455" spans="1:3" x14ac:dyDescent="0.3">
      <c r="A3455" s="98" t="s">
        <v>216</v>
      </c>
      <c r="B3455" s="98">
        <v>2010</v>
      </c>
      <c r="C3455" s="98">
        <v>4.19801</v>
      </c>
    </row>
    <row r="3456" spans="1:3" x14ac:dyDescent="0.3">
      <c r="A3456" s="98" t="s">
        <v>216</v>
      </c>
      <c r="B3456" s="98">
        <v>2011</v>
      </c>
      <c r="C3456" s="98">
        <v>4.3777100000000004</v>
      </c>
    </row>
    <row r="3457" spans="1:3" x14ac:dyDescent="0.3">
      <c r="A3457" s="98" t="s">
        <v>216</v>
      </c>
      <c r="B3457" s="98">
        <v>2012</v>
      </c>
      <c r="C3457" s="98">
        <v>4.3341099999999999</v>
      </c>
    </row>
    <row r="3458" spans="1:3" x14ac:dyDescent="0.3">
      <c r="A3458" s="98" t="s">
        <v>216</v>
      </c>
      <c r="B3458" s="98">
        <v>2013</v>
      </c>
      <c r="C3458" s="98">
        <v>4.3563700000000001</v>
      </c>
    </row>
    <row r="3459" spans="1:3" x14ac:dyDescent="0.3">
      <c r="A3459" s="98" t="s">
        <v>216</v>
      </c>
      <c r="B3459" s="98">
        <v>2014</v>
      </c>
      <c r="C3459" s="98">
        <v>4.9533399999999999</v>
      </c>
    </row>
    <row r="3460" spans="1:3" x14ac:dyDescent="0.3">
      <c r="A3460" s="98" t="s">
        <v>216</v>
      </c>
      <c r="B3460" s="98">
        <v>2015</v>
      </c>
      <c r="C3460" s="98">
        <v>5.6391</v>
      </c>
    </row>
    <row r="3461" spans="1:3" x14ac:dyDescent="0.3">
      <c r="A3461" s="98" t="s">
        <v>216</v>
      </c>
      <c r="B3461" s="98">
        <v>2016</v>
      </c>
      <c r="C3461" s="98">
        <v>7.1953649999999998</v>
      </c>
    </row>
    <row r="3462" spans="1:3" x14ac:dyDescent="0.3">
      <c r="A3462" s="98" t="s">
        <v>216</v>
      </c>
      <c r="B3462" s="98">
        <v>2017</v>
      </c>
      <c r="C3462" s="98">
        <v>7.5369599999999997</v>
      </c>
    </row>
    <row r="3463" spans="1:3" x14ac:dyDescent="0.3">
      <c r="A3463" s="98" t="s">
        <v>216</v>
      </c>
      <c r="B3463" s="98">
        <v>2018</v>
      </c>
      <c r="C3463" s="98">
        <v>8.3960500000000007</v>
      </c>
    </row>
    <row r="3464" spans="1:3" x14ac:dyDescent="0.3">
      <c r="A3464" s="98" t="s">
        <v>216</v>
      </c>
      <c r="B3464" s="98">
        <v>2019</v>
      </c>
      <c r="C3464" s="98">
        <v>9.7167100000000008</v>
      </c>
    </row>
    <row r="3465" spans="1:3" x14ac:dyDescent="0.3">
      <c r="A3465" s="98" t="s">
        <v>216</v>
      </c>
      <c r="B3465" s="98">
        <v>2020</v>
      </c>
      <c r="C3465" s="98">
        <v>10.133355</v>
      </c>
    </row>
    <row r="3466" spans="1:3" x14ac:dyDescent="0.3">
      <c r="A3466" s="98" t="s">
        <v>216</v>
      </c>
      <c r="B3466" s="98">
        <v>2021</v>
      </c>
      <c r="C3466" s="98">
        <v>11.224605</v>
      </c>
    </row>
    <row r="3467" spans="1:3" x14ac:dyDescent="0.3">
      <c r="A3467" s="98" t="s">
        <v>216</v>
      </c>
      <c r="B3467" s="98">
        <v>2022</v>
      </c>
      <c r="C3467" s="98">
        <v>18.835000000000001</v>
      </c>
    </row>
    <row r="3468" spans="1:3" x14ac:dyDescent="0.3">
      <c r="A3468" s="98" t="s">
        <v>217</v>
      </c>
      <c r="B3468" s="98">
        <v>2001</v>
      </c>
      <c r="C3468" s="98">
        <v>1.851</v>
      </c>
    </row>
    <row r="3469" spans="1:3" x14ac:dyDescent="0.3">
      <c r="A3469" s="98" t="s">
        <v>217</v>
      </c>
      <c r="B3469" s="98">
        <v>2002</v>
      </c>
      <c r="C3469" s="98">
        <v>1.7364999999999999</v>
      </c>
    </row>
    <row r="3470" spans="1:3" x14ac:dyDescent="0.3">
      <c r="A3470" s="98" t="s">
        <v>217</v>
      </c>
      <c r="B3470" s="98">
        <v>2003</v>
      </c>
      <c r="C3470" s="98">
        <v>1.7008000000000001</v>
      </c>
    </row>
    <row r="3471" spans="1:3" x14ac:dyDescent="0.3">
      <c r="A3471" s="98" t="s">
        <v>217</v>
      </c>
      <c r="B3471" s="98">
        <v>2004</v>
      </c>
      <c r="C3471" s="98">
        <v>1.6337999999999999</v>
      </c>
    </row>
    <row r="3472" spans="1:3" x14ac:dyDescent="0.3">
      <c r="A3472" s="98" t="s">
        <v>217</v>
      </c>
      <c r="B3472" s="98">
        <v>2005</v>
      </c>
      <c r="C3472" s="98">
        <v>1.6641999999999999</v>
      </c>
    </row>
    <row r="3473" spans="1:3" x14ac:dyDescent="0.3">
      <c r="A3473" s="98" t="s">
        <v>217</v>
      </c>
      <c r="B3473" s="98">
        <v>2006</v>
      </c>
      <c r="C3473" s="98">
        <v>1.5336000000000001</v>
      </c>
    </row>
    <row r="3474" spans="1:3" x14ac:dyDescent="0.3">
      <c r="A3474" s="98" t="s">
        <v>217</v>
      </c>
      <c r="B3474" s="98">
        <v>2007</v>
      </c>
      <c r="C3474" s="98">
        <v>1.4412</v>
      </c>
    </row>
    <row r="3475" spans="1:3" x14ac:dyDescent="0.3">
      <c r="A3475" s="98" t="s">
        <v>217</v>
      </c>
      <c r="B3475" s="98">
        <v>2008</v>
      </c>
      <c r="C3475" s="98">
        <v>1.4392</v>
      </c>
    </row>
    <row r="3476" spans="1:3" x14ac:dyDescent="0.3">
      <c r="A3476" s="98" t="s">
        <v>217</v>
      </c>
      <c r="B3476" s="98">
        <v>2009</v>
      </c>
      <c r="C3476" s="98">
        <v>1.4034</v>
      </c>
    </row>
    <row r="3477" spans="1:3" x14ac:dyDescent="0.3">
      <c r="A3477" s="98" t="s">
        <v>217</v>
      </c>
      <c r="B3477" s="98">
        <v>2010</v>
      </c>
      <c r="C3477" s="98">
        <v>1.2875000000000001</v>
      </c>
    </row>
    <row r="3478" spans="1:3" x14ac:dyDescent="0.3">
      <c r="A3478" s="98" t="s">
        <v>217</v>
      </c>
      <c r="B3478" s="98">
        <v>2011</v>
      </c>
      <c r="C3478" s="98">
        <v>1.3007</v>
      </c>
    </row>
    <row r="3479" spans="1:3" x14ac:dyDescent="0.3">
      <c r="A3479" s="98" t="s">
        <v>217</v>
      </c>
      <c r="B3479" s="98">
        <v>2012</v>
      </c>
      <c r="C3479" s="98">
        <v>1.2235</v>
      </c>
    </row>
    <row r="3480" spans="1:3" x14ac:dyDescent="0.3">
      <c r="A3480" s="98" t="s">
        <v>217</v>
      </c>
      <c r="B3480" s="98">
        <v>2013</v>
      </c>
      <c r="C3480" s="98">
        <v>1.2653000000000001</v>
      </c>
    </row>
    <row r="3481" spans="1:3" x14ac:dyDescent="0.3">
      <c r="A3481" s="98" t="s">
        <v>217</v>
      </c>
      <c r="B3481" s="98">
        <v>2014</v>
      </c>
      <c r="C3481" s="98">
        <v>1.3212999999999999</v>
      </c>
    </row>
    <row r="3482" spans="1:3" x14ac:dyDescent="0.3">
      <c r="A3482" s="98" t="s">
        <v>217</v>
      </c>
      <c r="B3482" s="98">
        <v>2015</v>
      </c>
      <c r="C3482" s="98">
        <v>1.4138999999999999</v>
      </c>
    </row>
    <row r="3483" spans="1:3" x14ac:dyDescent="0.3">
      <c r="A3483" s="98" t="s">
        <v>217</v>
      </c>
      <c r="B3483" s="98">
        <v>2016</v>
      </c>
      <c r="C3483" s="98">
        <v>1.4462999999999999</v>
      </c>
    </row>
    <row r="3484" spans="1:3" x14ac:dyDescent="0.3">
      <c r="A3484" s="98" t="s">
        <v>217</v>
      </c>
      <c r="B3484" s="98">
        <v>2017</v>
      </c>
      <c r="C3484" s="98">
        <v>1.3366</v>
      </c>
    </row>
    <row r="3485" spans="1:3" x14ac:dyDescent="0.3">
      <c r="A3485" s="98" t="s">
        <v>217</v>
      </c>
      <c r="B3485" s="98">
        <v>2018</v>
      </c>
      <c r="C3485" s="98">
        <v>1.3648</v>
      </c>
    </row>
    <row r="3486" spans="1:3" x14ac:dyDescent="0.3">
      <c r="A3486" s="98" t="s">
        <v>217</v>
      </c>
      <c r="B3486" s="98">
        <v>2019</v>
      </c>
      <c r="C3486" s="98">
        <v>1.3472</v>
      </c>
    </row>
    <row r="3487" spans="1:3" x14ac:dyDescent="0.3">
      <c r="A3487" s="98" t="s">
        <v>217</v>
      </c>
      <c r="B3487" s="98">
        <v>2020</v>
      </c>
      <c r="C3487" s="98">
        <v>1.3221000000000001</v>
      </c>
    </row>
    <row r="3488" spans="1:3" x14ac:dyDescent="0.3">
      <c r="A3488" s="98" t="s">
        <v>217</v>
      </c>
      <c r="B3488" s="98">
        <v>2021</v>
      </c>
      <c r="C3488" s="98">
        <v>1.3516999999999999</v>
      </c>
    </row>
    <row r="3489" spans="1:3" x14ac:dyDescent="0.3">
      <c r="A3489" s="98" t="s">
        <v>217</v>
      </c>
      <c r="B3489" s="98">
        <v>2022</v>
      </c>
      <c r="C3489" s="98">
        <v>1.3446</v>
      </c>
    </row>
    <row r="3490" spans="1:3" x14ac:dyDescent="0.3">
      <c r="A3490" s="98" t="s">
        <v>218</v>
      </c>
      <c r="B3490" s="98">
        <v>2001</v>
      </c>
    </row>
    <row r="3491" spans="1:3" x14ac:dyDescent="0.3">
      <c r="A3491" s="98" t="s">
        <v>218</v>
      </c>
      <c r="B3491" s="98">
        <v>2002</v>
      </c>
    </row>
    <row r="3492" spans="1:3" x14ac:dyDescent="0.3">
      <c r="A3492" s="98" t="s">
        <v>218</v>
      </c>
      <c r="B3492" s="98">
        <v>2003</v>
      </c>
    </row>
    <row r="3493" spans="1:3" x14ac:dyDescent="0.3">
      <c r="A3493" s="98" t="s">
        <v>218</v>
      </c>
      <c r="B3493" s="98">
        <v>2004</v>
      </c>
    </row>
    <row r="3494" spans="1:3" x14ac:dyDescent="0.3">
      <c r="A3494" s="98" t="s">
        <v>218</v>
      </c>
      <c r="B3494" s="98">
        <v>2005</v>
      </c>
    </row>
    <row r="3495" spans="1:3" x14ac:dyDescent="0.3">
      <c r="A3495" s="98" t="s">
        <v>218</v>
      </c>
      <c r="B3495" s="98">
        <v>2006</v>
      </c>
    </row>
    <row r="3496" spans="1:3" x14ac:dyDescent="0.3">
      <c r="A3496" s="98" t="s">
        <v>218</v>
      </c>
      <c r="B3496" s="98">
        <v>2007</v>
      </c>
    </row>
    <row r="3497" spans="1:3" x14ac:dyDescent="0.3">
      <c r="A3497" s="98" t="s">
        <v>218</v>
      </c>
      <c r="B3497" s="98">
        <v>2008</v>
      </c>
    </row>
    <row r="3498" spans="1:3" x14ac:dyDescent="0.3">
      <c r="A3498" s="98" t="s">
        <v>218</v>
      </c>
      <c r="B3498" s="98">
        <v>2009</v>
      </c>
    </row>
    <row r="3499" spans="1:3" x14ac:dyDescent="0.3">
      <c r="A3499" s="98" t="s">
        <v>218</v>
      </c>
      <c r="B3499" s="98">
        <v>2010</v>
      </c>
      <c r="C3499" s="98">
        <v>1.79</v>
      </c>
    </row>
    <row r="3500" spans="1:3" x14ac:dyDescent="0.3">
      <c r="A3500" s="98" t="s">
        <v>218</v>
      </c>
      <c r="B3500" s="98">
        <v>2011</v>
      </c>
      <c r="C3500" s="98">
        <v>1.79</v>
      </c>
    </row>
    <row r="3501" spans="1:3" x14ac:dyDescent="0.3">
      <c r="A3501" s="98" t="s">
        <v>218</v>
      </c>
      <c r="B3501" s="98">
        <v>2012</v>
      </c>
      <c r="C3501" s="98">
        <v>1.79</v>
      </c>
    </row>
    <row r="3502" spans="1:3" x14ac:dyDescent="0.3">
      <c r="A3502" s="98" t="s">
        <v>218</v>
      </c>
      <c r="B3502" s="98">
        <v>2013</v>
      </c>
      <c r="C3502" s="98">
        <v>1.79</v>
      </c>
    </row>
    <row r="3503" spans="1:3" x14ac:dyDescent="0.3">
      <c r="A3503" s="98" t="s">
        <v>218</v>
      </c>
      <c r="B3503" s="98">
        <v>2014</v>
      </c>
      <c r="C3503" s="98">
        <v>1.79</v>
      </c>
    </row>
    <row r="3504" spans="1:3" x14ac:dyDescent="0.3">
      <c r="A3504" s="98" t="s">
        <v>218</v>
      </c>
      <c r="B3504" s="98">
        <v>2015</v>
      </c>
      <c r="C3504" s="98">
        <v>1.79</v>
      </c>
    </row>
    <row r="3505" spans="1:3" x14ac:dyDescent="0.3">
      <c r="A3505" s="98" t="s">
        <v>218</v>
      </c>
      <c r="B3505" s="98">
        <v>2016</v>
      </c>
      <c r="C3505" s="98">
        <v>1.79</v>
      </c>
    </row>
    <row r="3506" spans="1:3" x14ac:dyDescent="0.3">
      <c r="A3506" s="98" t="s">
        <v>218</v>
      </c>
      <c r="B3506" s="98">
        <v>2017</v>
      </c>
      <c r="C3506" s="98">
        <v>1.79</v>
      </c>
    </row>
    <row r="3507" spans="1:3" x14ac:dyDescent="0.3">
      <c r="A3507" s="98" t="s">
        <v>218</v>
      </c>
      <c r="B3507" s="98">
        <v>2018</v>
      </c>
      <c r="C3507" s="98">
        <v>1.79</v>
      </c>
    </row>
    <row r="3508" spans="1:3" x14ac:dyDescent="0.3">
      <c r="A3508" s="98" t="s">
        <v>218</v>
      </c>
      <c r="B3508" s="98">
        <v>2019</v>
      </c>
      <c r="C3508" s="98">
        <v>1.79</v>
      </c>
    </row>
    <row r="3509" spans="1:3" x14ac:dyDescent="0.3">
      <c r="A3509" s="98" t="s">
        <v>218</v>
      </c>
      <c r="B3509" s="98">
        <v>2020</v>
      </c>
      <c r="C3509" s="98">
        <v>1.79</v>
      </c>
    </row>
    <row r="3510" spans="1:3" x14ac:dyDescent="0.3">
      <c r="A3510" s="98" t="s">
        <v>218</v>
      </c>
      <c r="B3510" s="98">
        <v>2021</v>
      </c>
      <c r="C3510" s="98">
        <v>1.79</v>
      </c>
    </row>
    <row r="3511" spans="1:3" x14ac:dyDescent="0.3">
      <c r="A3511" s="98" t="s">
        <v>218</v>
      </c>
      <c r="B3511" s="98">
        <v>2022</v>
      </c>
      <c r="C3511" s="98">
        <v>1.79</v>
      </c>
    </row>
    <row r="3512" spans="1:3" x14ac:dyDescent="0.3">
      <c r="A3512" s="98" t="s">
        <v>219</v>
      </c>
      <c r="B3512" s="98">
        <v>2001</v>
      </c>
      <c r="C3512" s="98">
        <v>48.466999999999999</v>
      </c>
    </row>
    <row r="3513" spans="1:3" x14ac:dyDescent="0.3">
      <c r="A3513" s="98" t="s">
        <v>219</v>
      </c>
      <c r="B3513" s="98">
        <v>2002</v>
      </c>
      <c r="C3513" s="98">
        <v>40.036000000000001</v>
      </c>
    </row>
    <row r="3514" spans="1:3" x14ac:dyDescent="0.3">
      <c r="A3514" s="98" t="s">
        <v>219</v>
      </c>
      <c r="B3514" s="98">
        <v>2003</v>
      </c>
      <c r="C3514" s="98">
        <v>32.92</v>
      </c>
    </row>
    <row r="3515" spans="1:3" x14ac:dyDescent="0.3">
      <c r="A3515" s="98" t="s">
        <v>219</v>
      </c>
      <c r="B3515" s="98">
        <v>2004</v>
      </c>
      <c r="C3515" s="98">
        <v>28.495999999999999</v>
      </c>
    </row>
    <row r="3516" spans="1:3" x14ac:dyDescent="0.3">
      <c r="A3516" s="98" t="s">
        <v>219</v>
      </c>
      <c r="B3516" s="98">
        <v>2005</v>
      </c>
      <c r="C3516" s="98">
        <v>31.948</v>
      </c>
    </row>
    <row r="3517" spans="1:3" x14ac:dyDescent="0.3">
      <c r="A3517" s="98" t="s">
        <v>219</v>
      </c>
      <c r="B3517" s="98">
        <v>2006</v>
      </c>
      <c r="C3517" s="98">
        <v>26.245999999999999</v>
      </c>
    </row>
    <row r="3518" spans="1:3" x14ac:dyDescent="0.3">
      <c r="A3518" s="98" t="s">
        <v>219</v>
      </c>
      <c r="B3518" s="98">
        <v>2007</v>
      </c>
      <c r="C3518" s="98">
        <v>22.87</v>
      </c>
    </row>
    <row r="3519" spans="1:3" x14ac:dyDescent="0.3">
      <c r="A3519" s="98" t="s">
        <v>219</v>
      </c>
      <c r="B3519" s="98">
        <v>2008</v>
      </c>
      <c r="C3519" s="98">
        <v>21.385000000000002</v>
      </c>
    </row>
    <row r="3520" spans="1:3" x14ac:dyDescent="0.3">
      <c r="A3520" s="98" t="s">
        <v>219</v>
      </c>
      <c r="B3520" s="98">
        <v>2009</v>
      </c>
    </row>
    <row r="3521" spans="1:3" x14ac:dyDescent="0.3">
      <c r="A3521" s="98" t="s">
        <v>219</v>
      </c>
      <c r="B3521" s="98">
        <v>2010</v>
      </c>
    </row>
    <row r="3522" spans="1:3" x14ac:dyDescent="0.3">
      <c r="A3522" s="98" t="s">
        <v>219</v>
      </c>
      <c r="B3522" s="98">
        <v>2011</v>
      </c>
    </row>
    <row r="3523" spans="1:3" x14ac:dyDescent="0.3">
      <c r="A3523" s="98" t="s">
        <v>219</v>
      </c>
      <c r="B3523" s="98">
        <v>2012</v>
      </c>
    </row>
    <row r="3524" spans="1:3" x14ac:dyDescent="0.3">
      <c r="A3524" s="98" t="s">
        <v>219</v>
      </c>
      <c r="B3524" s="98">
        <v>2013</v>
      </c>
    </row>
    <row r="3525" spans="1:3" x14ac:dyDescent="0.3">
      <c r="A3525" s="98" t="s">
        <v>219</v>
      </c>
      <c r="B3525" s="98">
        <v>2014</v>
      </c>
    </row>
    <row r="3526" spans="1:3" x14ac:dyDescent="0.3">
      <c r="A3526" s="98" t="s">
        <v>219</v>
      </c>
      <c r="B3526" s="98">
        <v>2015</v>
      </c>
    </row>
    <row r="3527" spans="1:3" x14ac:dyDescent="0.3">
      <c r="A3527" s="98" t="s">
        <v>219</v>
      </c>
      <c r="B3527" s="98">
        <v>2016</v>
      </c>
    </row>
    <row r="3528" spans="1:3" x14ac:dyDescent="0.3">
      <c r="A3528" s="98" t="s">
        <v>219</v>
      </c>
      <c r="B3528" s="98">
        <v>2017</v>
      </c>
    </row>
    <row r="3529" spans="1:3" x14ac:dyDescent="0.3">
      <c r="A3529" s="98" t="s">
        <v>219</v>
      </c>
      <c r="B3529" s="98">
        <v>2018</v>
      </c>
    </row>
    <row r="3530" spans="1:3" x14ac:dyDescent="0.3">
      <c r="A3530" s="98" t="s">
        <v>219</v>
      </c>
      <c r="B3530" s="98">
        <v>2019</v>
      </c>
    </row>
    <row r="3531" spans="1:3" x14ac:dyDescent="0.3">
      <c r="A3531" s="98" t="s">
        <v>219</v>
      </c>
      <c r="B3531" s="98">
        <v>2020</v>
      </c>
    </row>
    <row r="3532" spans="1:3" x14ac:dyDescent="0.3">
      <c r="A3532" s="98" t="s">
        <v>219</v>
      </c>
      <c r="B3532" s="98">
        <v>2021</v>
      </c>
    </row>
    <row r="3533" spans="1:3" x14ac:dyDescent="0.3">
      <c r="A3533" s="98" t="s">
        <v>219</v>
      </c>
      <c r="B3533" s="98">
        <v>2022</v>
      </c>
    </row>
    <row r="3534" spans="1:3" x14ac:dyDescent="0.3">
      <c r="A3534" s="98" t="s">
        <v>220</v>
      </c>
      <c r="B3534" s="98">
        <v>2001</v>
      </c>
      <c r="C3534" s="98">
        <v>250.94579999999999</v>
      </c>
    </row>
    <row r="3535" spans="1:3" x14ac:dyDescent="0.3">
      <c r="A3535" s="98" t="s">
        <v>220</v>
      </c>
      <c r="B3535" s="98">
        <v>2002</v>
      </c>
      <c r="C3535" s="98">
        <v>221.07079999999999</v>
      </c>
    </row>
    <row r="3536" spans="1:3" x14ac:dyDescent="0.3">
      <c r="A3536" s="98" t="s">
        <v>220</v>
      </c>
      <c r="B3536" s="98">
        <v>2003</v>
      </c>
      <c r="C3536" s="98">
        <v>189.3674</v>
      </c>
    </row>
    <row r="3537" spans="1:3" x14ac:dyDescent="0.3">
      <c r="A3537" s="98" t="s">
        <v>220</v>
      </c>
      <c r="B3537" s="98">
        <v>2004</v>
      </c>
      <c r="C3537" s="98">
        <v>176.24270000000001</v>
      </c>
    </row>
    <row r="3538" spans="1:3" x14ac:dyDescent="0.3">
      <c r="A3538" s="98" t="s">
        <v>220</v>
      </c>
      <c r="B3538" s="98">
        <v>2005</v>
      </c>
      <c r="C3538" s="98">
        <v>202.4297</v>
      </c>
    </row>
    <row r="3539" spans="1:3" x14ac:dyDescent="0.3">
      <c r="A3539" s="98" t="s">
        <v>220</v>
      </c>
      <c r="B3539" s="98">
        <v>2006</v>
      </c>
      <c r="C3539" s="98">
        <v>181.9314</v>
      </c>
    </row>
    <row r="3540" spans="1:3" x14ac:dyDescent="0.3">
      <c r="A3540" s="98" t="s">
        <v>220</v>
      </c>
      <c r="B3540" s="98">
        <v>2007</v>
      </c>
    </row>
    <row r="3541" spans="1:3" x14ac:dyDescent="0.3">
      <c r="A3541" s="98" t="s">
        <v>220</v>
      </c>
      <c r="B3541" s="98">
        <v>2008</v>
      </c>
    </row>
    <row r="3542" spans="1:3" x14ac:dyDescent="0.3">
      <c r="A3542" s="98" t="s">
        <v>220</v>
      </c>
      <c r="B3542" s="98">
        <v>2009</v>
      </c>
    </row>
    <row r="3543" spans="1:3" x14ac:dyDescent="0.3">
      <c r="A3543" s="98" t="s">
        <v>220</v>
      </c>
      <c r="B3543" s="98">
        <v>2010</v>
      </c>
    </row>
    <row r="3544" spans="1:3" x14ac:dyDescent="0.3">
      <c r="A3544" s="98" t="s">
        <v>220</v>
      </c>
      <c r="B3544" s="98">
        <v>2011</v>
      </c>
    </row>
    <row r="3545" spans="1:3" x14ac:dyDescent="0.3">
      <c r="A3545" s="98" t="s">
        <v>220</v>
      </c>
      <c r="B3545" s="98">
        <v>2012</v>
      </c>
    </row>
    <row r="3546" spans="1:3" x14ac:dyDescent="0.3">
      <c r="A3546" s="98" t="s">
        <v>220</v>
      </c>
      <c r="B3546" s="98">
        <v>2013</v>
      </c>
    </row>
    <row r="3547" spans="1:3" x14ac:dyDescent="0.3">
      <c r="A3547" s="98" t="s">
        <v>220</v>
      </c>
      <c r="B3547" s="98">
        <v>2014</v>
      </c>
    </row>
    <row r="3548" spans="1:3" x14ac:dyDescent="0.3">
      <c r="A3548" s="98" t="s">
        <v>220</v>
      </c>
      <c r="B3548" s="98">
        <v>2015</v>
      </c>
    </row>
    <row r="3549" spans="1:3" x14ac:dyDescent="0.3">
      <c r="A3549" s="98" t="s">
        <v>220</v>
      </c>
      <c r="B3549" s="98">
        <v>2016</v>
      </c>
    </row>
    <row r="3550" spans="1:3" x14ac:dyDescent="0.3">
      <c r="A3550" s="98" t="s">
        <v>220</v>
      </c>
      <c r="B3550" s="98">
        <v>2017</v>
      </c>
    </row>
    <row r="3551" spans="1:3" x14ac:dyDescent="0.3">
      <c r="A3551" s="98" t="s">
        <v>220</v>
      </c>
      <c r="B3551" s="98">
        <v>2018</v>
      </c>
    </row>
    <row r="3552" spans="1:3" x14ac:dyDescent="0.3">
      <c r="A3552" s="98" t="s">
        <v>220</v>
      </c>
      <c r="B3552" s="98">
        <v>2019</v>
      </c>
    </row>
    <row r="3553" spans="1:3" x14ac:dyDescent="0.3">
      <c r="A3553" s="98" t="s">
        <v>220</v>
      </c>
      <c r="B3553" s="98">
        <v>2020</v>
      </c>
    </row>
    <row r="3554" spans="1:3" x14ac:dyDescent="0.3">
      <c r="A3554" s="98" t="s">
        <v>220</v>
      </c>
      <c r="B3554" s="98">
        <v>2021</v>
      </c>
    </row>
    <row r="3555" spans="1:3" x14ac:dyDescent="0.3">
      <c r="A3555" s="98" t="s">
        <v>220</v>
      </c>
      <c r="B3555" s="98">
        <v>2022</v>
      </c>
    </row>
    <row r="3556" spans="1:3" x14ac:dyDescent="0.3">
      <c r="A3556" s="98" t="s">
        <v>221</v>
      </c>
      <c r="B3556" s="98">
        <v>2001</v>
      </c>
      <c r="C3556" s="98">
        <v>5.5648302999999997</v>
      </c>
    </row>
    <row r="3557" spans="1:3" x14ac:dyDescent="0.3">
      <c r="A3557" s="98" t="s">
        <v>221</v>
      </c>
      <c r="B3557" s="98">
        <v>2002</v>
      </c>
      <c r="C3557" s="98">
        <v>7.4571215999999998</v>
      </c>
    </row>
    <row r="3558" spans="1:3" x14ac:dyDescent="0.3">
      <c r="A3558" s="98" t="s">
        <v>221</v>
      </c>
      <c r="B3558" s="98">
        <v>2003</v>
      </c>
      <c r="C3558" s="98">
        <v>7.4906366999999996</v>
      </c>
    </row>
    <row r="3559" spans="1:3" x14ac:dyDescent="0.3">
      <c r="A3559" s="98" t="s">
        <v>221</v>
      </c>
      <c r="B3559" s="98">
        <v>2004</v>
      </c>
      <c r="C3559" s="98">
        <v>7.5075075</v>
      </c>
    </row>
    <row r="3560" spans="1:3" x14ac:dyDescent="0.3">
      <c r="A3560" s="98" t="s">
        <v>221</v>
      </c>
      <c r="B3560" s="98">
        <v>2005</v>
      </c>
      <c r="C3560" s="98">
        <v>7.5757576000000002</v>
      </c>
    </row>
    <row r="3561" spans="1:3" x14ac:dyDescent="0.3">
      <c r="A3561" s="98" t="s">
        <v>221</v>
      </c>
      <c r="B3561" s="98">
        <v>2006</v>
      </c>
      <c r="C3561" s="98">
        <v>7.6161462000000002</v>
      </c>
    </row>
    <row r="3562" spans="1:3" x14ac:dyDescent="0.3">
      <c r="A3562" s="98" t="s">
        <v>221</v>
      </c>
      <c r="B3562" s="98">
        <v>2007</v>
      </c>
      <c r="C3562" s="98">
        <v>7.6628352</v>
      </c>
    </row>
    <row r="3563" spans="1:3" x14ac:dyDescent="0.3">
      <c r="A3563" s="98" t="s">
        <v>221</v>
      </c>
      <c r="B3563" s="98">
        <v>2008</v>
      </c>
      <c r="C3563" s="98">
        <v>8</v>
      </c>
    </row>
    <row r="3564" spans="1:3" x14ac:dyDescent="0.3">
      <c r="A3564" s="98" t="s">
        <v>221</v>
      </c>
      <c r="B3564" s="98">
        <v>2009</v>
      </c>
      <c r="C3564" s="98">
        <v>8.0645161000000005</v>
      </c>
    </row>
    <row r="3565" spans="1:3" x14ac:dyDescent="0.3">
      <c r="A3565" s="98" t="s">
        <v>221</v>
      </c>
      <c r="B3565" s="98">
        <v>2010</v>
      </c>
      <c r="C3565" s="98">
        <v>8.0645000000000007</v>
      </c>
    </row>
    <row r="3566" spans="1:3" x14ac:dyDescent="0.3">
      <c r="A3566" s="98" t="s">
        <v>221</v>
      </c>
      <c r="B3566" s="98">
        <v>2011</v>
      </c>
      <c r="C3566" s="98">
        <v>7.3583517000000001</v>
      </c>
    </row>
    <row r="3567" spans="1:3" x14ac:dyDescent="0.3">
      <c r="A3567" s="98" t="s">
        <v>221</v>
      </c>
      <c r="B3567" s="98">
        <v>2012</v>
      </c>
      <c r="C3567" s="98">
        <v>7.3421438999999999</v>
      </c>
    </row>
    <row r="3568" spans="1:3" x14ac:dyDescent="0.3">
      <c r="A3568" s="98" t="s">
        <v>221</v>
      </c>
      <c r="B3568" s="98">
        <v>2013</v>
      </c>
      <c r="C3568" s="98">
        <v>7.3583517000000001</v>
      </c>
    </row>
    <row r="3569" spans="1:3" x14ac:dyDescent="0.3">
      <c r="A3569" s="98" t="s">
        <v>221</v>
      </c>
      <c r="B3569" s="98">
        <v>2014</v>
      </c>
      <c r="C3569" s="98">
        <v>7.3583517000000001</v>
      </c>
    </row>
    <row r="3570" spans="1:3" x14ac:dyDescent="0.3">
      <c r="A3570" s="98" t="s">
        <v>221</v>
      </c>
      <c r="B3570" s="98">
        <v>2015</v>
      </c>
      <c r="C3570" s="98">
        <v>8.0645161000000005</v>
      </c>
    </row>
    <row r="3571" spans="1:3" x14ac:dyDescent="0.3">
      <c r="A3571" s="98" t="s">
        <v>221</v>
      </c>
      <c r="B3571" s="98">
        <v>2016</v>
      </c>
      <c r="C3571" s="98">
        <v>8.1967213000000001</v>
      </c>
    </row>
    <row r="3572" spans="1:3" x14ac:dyDescent="0.3">
      <c r="A3572" s="98" t="s">
        <v>221</v>
      </c>
      <c r="B3572" s="98">
        <v>2017</v>
      </c>
      <c r="C3572" s="98">
        <v>7.8616352000000003</v>
      </c>
    </row>
    <row r="3573" spans="1:3" x14ac:dyDescent="0.3">
      <c r="A3573" s="98" t="s">
        <v>221</v>
      </c>
      <c r="B3573" s="98">
        <v>2018</v>
      </c>
      <c r="C3573" s="98">
        <v>8.1300813000000005</v>
      </c>
    </row>
    <row r="3574" spans="1:3" x14ac:dyDescent="0.3">
      <c r="A3574" s="98" t="s">
        <v>221</v>
      </c>
      <c r="B3574" s="98">
        <v>2019</v>
      </c>
      <c r="C3574" s="98">
        <v>8.1967213000000001</v>
      </c>
    </row>
    <row r="3575" spans="1:3" x14ac:dyDescent="0.3">
      <c r="A3575" s="98" t="s">
        <v>221</v>
      </c>
      <c r="B3575" s="98">
        <v>2020</v>
      </c>
      <c r="C3575" s="98">
        <v>8.0450523</v>
      </c>
    </row>
    <row r="3576" spans="1:3" x14ac:dyDescent="0.3">
      <c r="A3576" s="98" t="s">
        <v>221</v>
      </c>
      <c r="B3576" s="98">
        <v>2021</v>
      </c>
      <c r="C3576" s="98">
        <v>8.0971659999999996</v>
      </c>
    </row>
    <row r="3577" spans="1:3" x14ac:dyDescent="0.3">
      <c r="A3577" s="98" t="s">
        <v>221</v>
      </c>
      <c r="B3577" s="98">
        <v>2022</v>
      </c>
      <c r="C3577" s="98">
        <v>8.2781456999999996</v>
      </c>
    </row>
    <row r="3578" spans="1:3" x14ac:dyDescent="0.3">
      <c r="A3578" s="98" t="s">
        <v>222</v>
      </c>
      <c r="B3578" s="98">
        <v>2001</v>
      </c>
    </row>
    <row r="3579" spans="1:3" x14ac:dyDescent="0.3">
      <c r="A3579" s="98" t="s">
        <v>222</v>
      </c>
      <c r="B3579" s="98">
        <v>2002</v>
      </c>
    </row>
    <row r="3580" spans="1:3" x14ac:dyDescent="0.3">
      <c r="A3580" s="98" t="s">
        <v>222</v>
      </c>
      <c r="B3580" s="98">
        <v>2003</v>
      </c>
    </row>
    <row r="3581" spans="1:3" x14ac:dyDescent="0.3">
      <c r="A3581" s="98" t="s">
        <v>222</v>
      </c>
      <c r="B3581" s="98">
        <v>2004</v>
      </c>
    </row>
    <row r="3582" spans="1:3" x14ac:dyDescent="0.3">
      <c r="A3582" s="98" t="s">
        <v>222</v>
      </c>
      <c r="B3582" s="98">
        <v>2005</v>
      </c>
    </row>
    <row r="3583" spans="1:3" x14ac:dyDescent="0.3">
      <c r="A3583" s="98" t="s">
        <v>222</v>
      </c>
      <c r="B3583" s="98">
        <v>2006</v>
      </c>
    </row>
    <row r="3584" spans="1:3" x14ac:dyDescent="0.3">
      <c r="A3584" s="98" t="s">
        <v>222</v>
      </c>
      <c r="B3584" s="98">
        <v>2007</v>
      </c>
    </row>
    <row r="3585" spans="1:3" x14ac:dyDescent="0.3">
      <c r="A3585" s="98" t="s">
        <v>222</v>
      </c>
      <c r="B3585" s="98">
        <v>2008</v>
      </c>
    </row>
    <row r="3586" spans="1:3" x14ac:dyDescent="0.3">
      <c r="A3586" s="98" t="s">
        <v>222</v>
      </c>
      <c r="B3586" s="98">
        <v>2009</v>
      </c>
      <c r="C3586" s="98">
        <v>31750</v>
      </c>
    </row>
    <row r="3587" spans="1:3" x14ac:dyDescent="0.3">
      <c r="A3587" s="98" t="s">
        <v>222</v>
      </c>
      <c r="B3587" s="98">
        <v>2010</v>
      </c>
      <c r="C3587" s="98">
        <v>30900</v>
      </c>
    </row>
    <row r="3588" spans="1:3" x14ac:dyDescent="0.3">
      <c r="A3588" s="98" t="s">
        <v>222</v>
      </c>
      <c r="B3588" s="98">
        <v>2011</v>
      </c>
      <c r="C3588" s="98">
        <v>24850</v>
      </c>
    </row>
    <row r="3589" spans="1:3" x14ac:dyDescent="0.3">
      <c r="A3589" s="98" t="s">
        <v>222</v>
      </c>
      <c r="B3589" s="98">
        <v>2012</v>
      </c>
      <c r="C3589" s="98">
        <v>22200</v>
      </c>
    </row>
    <row r="3590" spans="1:3" x14ac:dyDescent="0.3">
      <c r="A3590" s="98" t="s">
        <v>222</v>
      </c>
      <c r="B3590" s="98">
        <v>2013</v>
      </c>
      <c r="C3590" s="98">
        <v>20600</v>
      </c>
    </row>
    <row r="3591" spans="1:3" x14ac:dyDescent="0.3">
      <c r="A3591" s="98" t="s">
        <v>222</v>
      </c>
      <c r="B3591" s="98">
        <v>2014</v>
      </c>
      <c r="C3591" s="98">
        <v>20265</v>
      </c>
    </row>
    <row r="3592" spans="1:3" x14ac:dyDescent="0.3">
      <c r="A3592" s="98" t="s">
        <v>222</v>
      </c>
      <c r="B3592" s="98">
        <v>2015</v>
      </c>
      <c r="C3592" s="98">
        <v>22285</v>
      </c>
    </row>
    <row r="3593" spans="1:3" x14ac:dyDescent="0.3">
      <c r="A3593" s="98" t="s">
        <v>222</v>
      </c>
      <c r="B3593" s="98">
        <v>2016</v>
      </c>
      <c r="C3593" s="98">
        <v>24005</v>
      </c>
    </row>
    <row r="3594" spans="1:3" x14ac:dyDescent="0.3">
      <c r="A3594" s="98" t="s">
        <v>222</v>
      </c>
      <c r="B3594" s="98">
        <v>2017</v>
      </c>
      <c r="C3594" s="98">
        <v>23605</v>
      </c>
    </row>
    <row r="3595" spans="1:3" x14ac:dyDescent="0.3">
      <c r="A3595" s="98" t="s">
        <v>222</v>
      </c>
      <c r="B3595" s="98">
        <v>2018</v>
      </c>
    </row>
    <row r="3596" spans="1:3" x14ac:dyDescent="0.3">
      <c r="A3596" s="98" t="s">
        <v>222</v>
      </c>
      <c r="B3596" s="98">
        <v>2019</v>
      </c>
    </row>
    <row r="3597" spans="1:3" x14ac:dyDescent="0.3">
      <c r="A3597" s="98" t="s">
        <v>222</v>
      </c>
      <c r="B3597" s="98">
        <v>2020</v>
      </c>
    </row>
    <row r="3598" spans="1:3" x14ac:dyDescent="0.3">
      <c r="A3598" s="98" t="s">
        <v>222</v>
      </c>
      <c r="B3598" s="98">
        <v>2021</v>
      </c>
    </row>
    <row r="3599" spans="1:3" x14ac:dyDescent="0.3">
      <c r="A3599" s="98" t="s">
        <v>222</v>
      </c>
      <c r="B3599" s="98">
        <v>2022</v>
      </c>
    </row>
    <row r="3600" spans="1:3" x14ac:dyDescent="0.3">
      <c r="A3600" s="98" t="s">
        <v>35</v>
      </c>
      <c r="B3600" s="98">
        <v>2001</v>
      </c>
      <c r="C3600" s="98">
        <v>12.1265</v>
      </c>
    </row>
    <row r="3601" spans="1:3" x14ac:dyDescent="0.3">
      <c r="A3601" s="98" t="s">
        <v>35</v>
      </c>
      <c r="B3601" s="98">
        <v>2002</v>
      </c>
      <c r="C3601" s="98">
        <v>8.64</v>
      </c>
    </row>
    <row r="3602" spans="1:3" x14ac:dyDescent="0.3">
      <c r="A3602" s="98" t="s">
        <v>35</v>
      </c>
      <c r="B3602" s="98">
        <v>2003</v>
      </c>
      <c r="C3602" s="98">
        <v>6.64</v>
      </c>
    </row>
    <row r="3603" spans="1:3" x14ac:dyDescent="0.3">
      <c r="A3603" s="98" t="s">
        <v>35</v>
      </c>
      <c r="B3603" s="98">
        <v>2004</v>
      </c>
      <c r="C3603" s="98">
        <v>5.63</v>
      </c>
    </row>
    <row r="3604" spans="1:3" x14ac:dyDescent="0.3">
      <c r="A3604" s="98" t="s">
        <v>35</v>
      </c>
      <c r="B3604" s="98">
        <v>2005</v>
      </c>
      <c r="C3604" s="98">
        <v>6.3250000000000002</v>
      </c>
    </row>
    <row r="3605" spans="1:3" x14ac:dyDescent="0.3">
      <c r="A3605" s="98" t="s">
        <v>35</v>
      </c>
      <c r="B3605" s="98">
        <v>2006</v>
      </c>
      <c r="C3605" s="98">
        <v>6.97</v>
      </c>
    </row>
    <row r="3606" spans="1:3" x14ac:dyDescent="0.3">
      <c r="A3606" s="98" t="s">
        <v>35</v>
      </c>
      <c r="B3606" s="98">
        <v>2007</v>
      </c>
      <c r="C3606" s="98">
        <v>6.81</v>
      </c>
    </row>
    <row r="3607" spans="1:3" x14ac:dyDescent="0.3">
      <c r="A3607" s="98" t="s">
        <v>35</v>
      </c>
      <c r="B3607" s="98">
        <v>2008</v>
      </c>
      <c r="C3607" s="98">
        <v>9.3049999999999997</v>
      </c>
    </row>
    <row r="3608" spans="1:3" x14ac:dyDescent="0.3">
      <c r="A3608" s="98" t="s">
        <v>35</v>
      </c>
      <c r="B3608" s="98">
        <v>2009</v>
      </c>
      <c r="C3608" s="98">
        <v>7.38</v>
      </c>
    </row>
    <row r="3609" spans="1:3" x14ac:dyDescent="0.3">
      <c r="A3609" s="98" t="s">
        <v>35</v>
      </c>
      <c r="B3609" s="98">
        <v>2010</v>
      </c>
      <c r="C3609" s="98">
        <v>6.6315999999999997</v>
      </c>
    </row>
    <row r="3610" spans="1:3" x14ac:dyDescent="0.3">
      <c r="A3610" s="98" t="s">
        <v>35</v>
      </c>
      <c r="B3610" s="98">
        <v>2011</v>
      </c>
      <c r="C3610" s="98">
        <v>8.1428999999999991</v>
      </c>
    </row>
    <row r="3611" spans="1:3" x14ac:dyDescent="0.3">
      <c r="A3611" s="98" t="s">
        <v>35</v>
      </c>
      <c r="B3611" s="98">
        <v>2012</v>
      </c>
      <c r="C3611" s="98">
        <v>8.5011500000000009</v>
      </c>
    </row>
    <row r="3612" spans="1:3" x14ac:dyDescent="0.3">
      <c r="A3612" s="98" t="s">
        <v>35</v>
      </c>
      <c r="B3612" s="98">
        <v>2013</v>
      </c>
      <c r="C3612" s="98">
        <v>10.489850000000001</v>
      </c>
    </row>
    <row r="3613" spans="1:3" x14ac:dyDescent="0.3">
      <c r="A3613" s="98" t="s">
        <v>35</v>
      </c>
      <c r="B3613" s="98">
        <v>2014</v>
      </c>
      <c r="C3613" s="98">
        <v>11.58095</v>
      </c>
    </row>
    <row r="3614" spans="1:3" x14ac:dyDescent="0.3">
      <c r="A3614" s="98" t="s">
        <v>35</v>
      </c>
      <c r="B3614" s="98">
        <v>2015</v>
      </c>
      <c r="C3614" s="98">
        <v>15.545</v>
      </c>
    </row>
    <row r="3615" spans="1:3" x14ac:dyDescent="0.3">
      <c r="A3615" s="98" t="s">
        <v>35</v>
      </c>
      <c r="B3615" s="98">
        <v>2016</v>
      </c>
      <c r="C3615" s="98">
        <v>13.68445</v>
      </c>
    </row>
    <row r="3616" spans="1:3" x14ac:dyDescent="0.3">
      <c r="A3616" s="98" t="s">
        <v>35</v>
      </c>
      <c r="B3616" s="98">
        <v>2017</v>
      </c>
      <c r="C3616" s="98">
        <v>12.315270999999999</v>
      </c>
    </row>
    <row r="3617" spans="1:3" x14ac:dyDescent="0.3">
      <c r="A3617" s="98" t="s">
        <v>35</v>
      </c>
      <c r="B3617" s="98">
        <v>2018</v>
      </c>
      <c r="C3617" s="98">
        <v>14.376657</v>
      </c>
    </row>
    <row r="3618" spans="1:3" x14ac:dyDescent="0.3">
      <c r="A3618" s="98" t="s">
        <v>35</v>
      </c>
      <c r="B3618" s="98">
        <v>2019</v>
      </c>
      <c r="C3618" s="98">
        <v>14.025541</v>
      </c>
    </row>
    <row r="3619" spans="1:3" x14ac:dyDescent="0.3">
      <c r="A3619" s="98" t="s">
        <v>35</v>
      </c>
      <c r="B3619" s="98">
        <v>2020</v>
      </c>
      <c r="C3619" s="98">
        <v>14.685948</v>
      </c>
    </row>
    <row r="3620" spans="1:3" x14ac:dyDescent="0.3">
      <c r="A3620" s="98" t="s">
        <v>35</v>
      </c>
      <c r="B3620" s="98">
        <v>2021</v>
      </c>
      <c r="C3620" s="98">
        <v>15.905407</v>
      </c>
    </row>
    <row r="3621" spans="1:3" x14ac:dyDescent="0.3">
      <c r="A3621" s="98" t="s">
        <v>35</v>
      </c>
      <c r="B3621" s="98">
        <v>2022</v>
      </c>
      <c r="C3621" s="98">
        <v>16.993537</v>
      </c>
    </row>
    <row r="3622" spans="1:3" x14ac:dyDescent="0.3">
      <c r="A3622" s="98" t="s">
        <v>223</v>
      </c>
      <c r="B3622" s="98">
        <v>2001</v>
      </c>
    </row>
    <row r="3623" spans="1:3" x14ac:dyDescent="0.3">
      <c r="A3623" s="98" t="s">
        <v>223</v>
      </c>
      <c r="B3623" s="98">
        <v>2002</v>
      </c>
    </row>
    <row r="3624" spans="1:3" x14ac:dyDescent="0.3">
      <c r="A3624" s="98" t="s">
        <v>223</v>
      </c>
      <c r="B3624" s="98">
        <v>2003</v>
      </c>
    </row>
    <row r="3625" spans="1:3" x14ac:dyDescent="0.3">
      <c r="A3625" s="98" t="s">
        <v>223</v>
      </c>
      <c r="B3625" s="98">
        <v>2004</v>
      </c>
    </row>
    <row r="3626" spans="1:3" x14ac:dyDescent="0.3">
      <c r="A3626" s="98" t="s">
        <v>223</v>
      </c>
      <c r="B3626" s="98">
        <v>2005</v>
      </c>
    </row>
    <row r="3627" spans="1:3" x14ac:dyDescent="0.3">
      <c r="A3627" s="98" t="s">
        <v>223</v>
      </c>
      <c r="B3627" s="98">
        <v>2006</v>
      </c>
    </row>
    <row r="3628" spans="1:3" x14ac:dyDescent="0.3">
      <c r="A3628" s="98" t="s">
        <v>223</v>
      </c>
      <c r="B3628" s="98">
        <v>2007</v>
      </c>
    </row>
    <row r="3629" spans="1:3" x14ac:dyDescent="0.3">
      <c r="A3629" s="98" t="s">
        <v>223</v>
      </c>
      <c r="B3629" s="98">
        <v>2008</v>
      </c>
    </row>
    <row r="3630" spans="1:3" x14ac:dyDescent="0.3">
      <c r="A3630" s="98" t="s">
        <v>223</v>
      </c>
      <c r="B3630" s="98">
        <v>2009</v>
      </c>
    </row>
    <row r="3631" spans="1:3" x14ac:dyDescent="0.3">
      <c r="A3631" s="98" t="s">
        <v>223</v>
      </c>
      <c r="B3631" s="98">
        <v>2010</v>
      </c>
    </row>
    <row r="3632" spans="1:3" x14ac:dyDescent="0.3">
      <c r="A3632" s="98" t="s">
        <v>223</v>
      </c>
      <c r="B3632" s="98">
        <v>2011</v>
      </c>
      <c r="C3632" s="98">
        <v>2.95</v>
      </c>
    </row>
    <row r="3633" spans="1:3" x14ac:dyDescent="0.3">
      <c r="A3633" s="98" t="s">
        <v>223</v>
      </c>
      <c r="B3633" s="98">
        <v>2012</v>
      </c>
      <c r="C3633" s="98">
        <v>2.95</v>
      </c>
    </row>
    <row r="3634" spans="1:3" x14ac:dyDescent="0.3">
      <c r="A3634" s="98" t="s">
        <v>223</v>
      </c>
      <c r="B3634" s="98">
        <v>2013</v>
      </c>
      <c r="C3634" s="98">
        <v>2.95</v>
      </c>
    </row>
    <row r="3635" spans="1:3" x14ac:dyDescent="0.3">
      <c r="A3635" s="98" t="s">
        <v>223</v>
      </c>
      <c r="B3635" s="98">
        <v>2014</v>
      </c>
      <c r="C3635" s="98">
        <v>2.95</v>
      </c>
    </row>
    <row r="3636" spans="1:3" x14ac:dyDescent="0.3">
      <c r="A3636" s="98" t="s">
        <v>223</v>
      </c>
      <c r="B3636" s="98">
        <v>2015</v>
      </c>
      <c r="C3636" s="98">
        <v>16.621099999999998</v>
      </c>
    </row>
    <row r="3637" spans="1:3" x14ac:dyDescent="0.3">
      <c r="A3637" s="98" t="s">
        <v>223</v>
      </c>
      <c r="B3637" s="98">
        <v>2016</v>
      </c>
      <c r="C3637" s="98">
        <v>83.9054</v>
      </c>
    </row>
    <row r="3638" spans="1:3" x14ac:dyDescent="0.3">
      <c r="A3638" s="98" t="s">
        <v>223</v>
      </c>
      <c r="B3638" s="98">
        <v>2017</v>
      </c>
      <c r="C3638" s="98">
        <v>127.94410000000001</v>
      </c>
    </row>
    <row r="3639" spans="1:3" x14ac:dyDescent="0.3">
      <c r="A3639" s="98" t="s">
        <v>223</v>
      </c>
      <c r="B3639" s="98">
        <v>2018</v>
      </c>
      <c r="C3639" s="98">
        <v>154.03</v>
      </c>
    </row>
    <row r="3640" spans="1:3" x14ac:dyDescent="0.3">
      <c r="A3640" s="98" t="s">
        <v>223</v>
      </c>
      <c r="B3640" s="98">
        <v>2019</v>
      </c>
      <c r="C3640" s="98">
        <v>161.09</v>
      </c>
    </row>
    <row r="3641" spans="1:3" x14ac:dyDescent="0.3">
      <c r="A3641" s="98" t="s">
        <v>223</v>
      </c>
      <c r="B3641" s="98">
        <v>2020</v>
      </c>
      <c r="C3641" s="98">
        <v>177.2809</v>
      </c>
    </row>
    <row r="3642" spans="1:3" x14ac:dyDescent="0.3">
      <c r="A3642" s="98" t="s">
        <v>223</v>
      </c>
      <c r="B3642" s="98">
        <v>2021</v>
      </c>
      <c r="C3642" s="98">
        <v>432.03399999999999</v>
      </c>
    </row>
    <row r="3643" spans="1:3" x14ac:dyDescent="0.3">
      <c r="A3643" s="98" t="s">
        <v>223</v>
      </c>
      <c r="B3643" s="98">
        <v>2022</v>
      </c>
    </row>
    <row r="3644" spans="1:3" x14ac:dyDescent="0.3">
      <c r="A3644" s="98" t="s">
        <v>224</v>
      </c>
      <c r="B3644" s="98">
        <v>2001</v>
      </c>
      <c r="C3644" s="98">
        <v>93.158699999999996</v>
      </c>
    </row>
    <row r="3645" spans="1:3" x14ac:dyDescent="0.3">
      <c r="A3645" s="98" t="s">
        <v>224</v>
      </c>
      <c r="B3645" s="98">
        <v>2002</v>
      </c>
      <c r="C3645" s="98">
        <v>96.724999999999994</v>
      </c>
    </row>
    <row r="3646" spans="1:3" x14ac:dyDescent="0.3">
      <c r="A3646" s="98" t="s">
        <v>224</v>
      </c>
      <c r="B3646" s="98">
        <v>2003</v>
      </c>
      <c r="C3646" s="98">
        <v>96.738200000000006</v>
      </c>
    </row>
    <row r="3647" spans="1:3" x14ac:dyDescent="0.3">
      <c r="A3647" s="98" t="s">
        <v>224</v>
      </c>
      <c r="B3647" s="98">
        <v>2004</v>
      </c>
      <c r="C3647" s="98">
        <v>104.605</v>
      </c>
    </row>
    <row r="3648" spans="1:3" x14ac:dyDescent="0.3">
      <c r="A3648" s="98" t="s">
        <v>224</v>
      </c>
      <c r="B3648" s="98">
        <v>2005</v>
      </c>
      <c r="C3648" s="98">
        <v>102.1172</v>
      </c>
    </row>
    <row r="3649" spans="1:3" x14ac:dyDescent="0.3">
      <c r="A3649" s="98" t="s">
        <v>224</v>
      </c>
      <c r="B3649" s="98">
        <v>2006</v>
      </c>
      <c r="C3649" s="98">
        <v>107.7056</v>
      </c>
    </row>
    <row r="3650" spans="1:3" x14ac:dyDescent="0.3">
      <c r="A3650" s="98" t="s">
        <v>224</v>
      </c>
      <c r="B3650" s="98">
        <v>2007</v>
      </c>
      <c r="C3650" s="98">
        <v>108.71939999999999</v>
      </c>
    </row>
    <row r="3651" spans="1:3" x14ac:dyDescent="0.3">
      <c r="A3651" s="98" t="s">
        <v>224</v>
      </c>
      <c r="B3651" s="98">
        <v>2008</v>
      </c>
      <c r="C3651" s="98">
        <v>113.13979999999999</v>
      </c>
    </row>
    <row r="3652" spans="1:3" x14ac:dyDescent="0.3">
      <c r="A3652" s="98" t="s">
        <v>224</v>
      </c>
      <c r="B3652" s="98">
        <v>2009</v>
      </c>
      <c r="C3652" s="98">
        <v>114.3844</v>
      </c>
    </row>
    <row r="3653" spans="1:3" x14ac:dyDescent="0.3">
      <c r="A3653" s="98" t="s">
        <v>224</v>
      </c>
      <c r="B3653" s="98">
        <v>2010</v>
      </c>
      <c r="C3653" s="98">
        <v>110.953</v>
      </c>
    </row>
    <row r="3654" spans="1:3" x14ac:dyDescent="0.3">
      <c r="A3654" s="98" t="s">
        <v>224</v>
      </c>
      <c r="B3654" s="98">
        <v>2011</v>
      </c>
      <c r="C3654" s="98">
        <v>113.90130000000001</v>
      </c>
    </row>
    <row r="3655" spans="1:3" x14ac:dyDescent="0.3">
      <c r="A3655" s="98" t="s">
        <v>224</v>
      </c>
      <c r="B3655" s="98">
        <v>2012</v>
      </c>
      <c r="C3655" s="98">
        <v>127.16079999999999</v>
      </c>
    </row>
    <row r="3656" spans="1:3" x14ac:dyDescent="0.3">
      <c r="A3656" s="98" t="s">
        <v>224</v>
      </c>
      <c r="B3656" s="98">
        <v>2013</v>
      </c>
      <c r="C3656" s="98">
        <v>130.75299999999999</v>
      </c>
    </row>
    <row r="3657" spans="1:3" x14ac:dyDescent="0.3">
      <c r="A3657" s="98" t="s">
        <v>224</v>
      </c>
      <c r="B3657" s="98">
        <v>2014</v>
      </c>
      <c r="C3657" s="98">
        <v>131.04859999999999</v>
      </c>
    </row>
    <row r="3658" spans="1:3" x14ac:dyDescent="0.3">
      <c r="A3658" s="98" t="s">
        <v>224</v>
      </c>
      <c r="B3658" s="98">
        <v>2015</v>
      </c>
      <c r="C3658" s="98">
        <v>144.06229999999999</v>
      </c>
    </row>
    <row r="3659" spans="1:3" x14ac:dyDescent="0.3">
      <c r="A3659" s="98" t="s">
        <v>224</v>
      </c>
      <c r="B3659" s="98">
        <v>2016</v>
      </c>
      <c r="C3659" s="98">
        <v>149.80000000000001</v>
      </c>
    </row>
    <row r="3660" spans="1:3" x14ac:dyDescent="0.3">
      <c r="A3660" s="98" t="s">
        <v>224</v>
      </c>
      <c r="B3660" s="98">
        <v>2017</v>
      </c>
      <c r="C3660" s="98">
        <v>152.85480000000001</v>
      </c>
    </row>
    <row r="3661" spans="1:3" x14ac:dyDescent="0.3">
      <c r="A3661" s="98" t="s">
        <v>224</v>
      </c>
      <c r="B3661" s="98">
        <v>2018</v>
      </c>
      <c r="C3661" s="98">
        <v>182.2783</v>
      </c>
    </row>
    <row r="3662" spans="1:3" x14ac:dyDescent="0.3">
      <c r="A3662" s="98" t="s">
        <v>224</v>
      </c>
      <c r="B3662" s="98">
        <v>2019</v>
      </c>
      <c r="C3662" s="98">
        <v>181.63399999999999</v>
      </c>
    </row>
    <row r="3663" spans="1:3" x14ac:dyDescent="0.3">
      <c r="A3663" s="98" t="s">
        <v>224</v>
      </c>
      <c r="B3663" s="98">
        <v>2020</v>
      </c>
      <c r="C3663" s="98">
        <v>186.40819999999999</v>
      </c>
    </row>
    <row r="3664" spans="1:3" x14ac:dyDescent="0.3">
      <c r="A3664" s="98" t="s">
        <v>224</v>
      </c>
      <c r="B3664" s="98">
        <v>2021</v>
      </c>
      <c r="C3664" s="98">
        <v>200.43379999999999</v>
      </c>
    </row>
    <row r="3665" spans="1:3" x14ac:dyDescent="0.3">
      <c r="A3665" s="98" t="s">
        <v>224</v>
      </c>
      <c r="B3665" s="98">
        <v>2022</v>
      </c>
    </row>
    <row r="3666" spans="1:3" x14ac:dyDescent="0.3">
      <c r="A3666" s="98" t="s">
        <v>225</v>
      </c>
      <c r="B3666" s="98">
        <v>2001</v>
      </c>
      <c r="C3666" s="98">
        <v>2.7</v>
      </c>
    </row>
    <row r="3667" spans="1:3" x14ac:dyDescent="0.3">
      <c r="A3667" s="98" t="s">
        <v>225</v>
      </c>
      <c r="B3667" s="98">
        <v>2002</v>
      </c>
      <c r="C3667" s="98">
        <v>2.7</v>
      </c>
    </row>
    <row r="3668" spans="1:3" x14ac:dyDescent="0.3">
      <c r="A3668" s="98" t="s">
        <v>225</v>
      </c>
      <c r="B3668" s="98">
        <v>2003</v>
      </c>
      <c r="C3668" s="98">
        <v>2.7</v>
      </c>
    </row>
    <row r="3669" spans="1:3" x14ac:dyDescent="0.3">
      <c r="A3669" s="98" t="s">
        <v>225</v>
      </c>
      <c r="B3669" s="98">
        <v>2004</v>
      </c>
      <c r="C3669" s="98">
        <v>2.7</v>
      </c>
    </row>
    <row r="3670" spans="1:3" x14ac:dyDescent="0.3">
      <c r="A3670" s="98" t="s">
        <v>225</v>
      </c>
      <c r="B3670" s="98">
        <v>2005</v>
      </c>
      <c r="C3670" s="98">
        <v>2.7</v>
      </c>
    </row>
    <row r="3671" spans="1:3" x14ac:dyDescent="0.3">
      <c r="A3671" s="98" t="s">
        <v>225</v>
      </c>
      <c r="B3671" s="98">
        <v>2006</v>
      </c>
      <c r="C3671" s="98">
        <v>2.7</v>
      </c>
    </row>
    <row r="3672" spans="1:3" x14ac:dyDescent="0.3">
      <c r="A3672" s="98" t="s">
        <v>225</v>
      </c>
      <c r="B3672" s="98">
        <v>2007</v>
      </c>
      <c r="C3672" s="98">
        <v>2.7</v>
      </c>
    </row>
    <row r="3673" spans="1:3" x14ac:dyDescent="0.3">
      <c r="A3673" s="98" t="s">
        <v>225</v>
      </c>
      <c r="B3673" s="98">
        <v>2008</v>
      </c>
      <c r="C3673" s="98">
        <v>2.7</v>
      </c>
    </row>
    <row r="3674" spans="1:3" x14ac:dyDescent="0.3">
      <c r="A3674" s="98" t="s">
        <v>225</v>
      </c>
      <c r="B3674" s="98">
        <v>2009</v>
      </c>
      <c r="C3674" s="98">
        <v>2.7</v>
      </c>
    </row>
    <row r="3675" spans="1:3" x14ac:dyDescent="0.3">
      <c r="A3675" s="98" t="s">
        <v>225</v>
      </c>
      <c r="B3675" s="98">
        <v>2010</v>
      </c>
      <c r="C3675" s="98">
        <v>2.7</v>
      </c>
    </row>
    <row r="3676" spans="1:3" x14ac:dyDescent="0.3">
      <c r="A3676" s="98" t="s">
        <v>225</v>
      </c>
      <c r="B3676" s="98">
        <v>2011</v>
      </c>
      <c r="C3676" s="98">
        <v>2.7</v>
      </c>
    </row>
    <row r="3677" spans="1:3" x14ac:dyDescent="0.3">
      <c r="A3677" s="98" t="s">
        <v>225</v>
      </c>
      <c r="B3677" s="98">
        <v>2012</v>
      </c>
      <c r="C3677" s="98">
        <v>2.7</v>
      </c>
    </row>
    <row r="3678" spans="1:3" x14ac:dyDescent="0.3">
      <c r="A3678" s="98" t="s">
        <v>225</v>
      </c>
      <c r="B3678" s="98">
        <v>2013</v>
      </c>
      <c r="C3678" s="98">
        <v>2.7</v>
      </c>
    </row>
    <row r="3679" spans="1:3" x14ac:dyDescent="0.3">
      <c r="A3679" s="98" t="s">
        <v>225</v>
      </c>
      <c r="B3679" s="98">
        <v>2014</v>
      </c>
      <c r="C3679" s="98">
        <v>2.7</v>
      </c>
    </row>
    <row r="3680" spans="1:3" x14ac:dyDescent="0.3">
      <c r="A3680" s="98" t="s">
        <v>225</v>
      </c>
      <c r="B3680" s="98">
        <v>2015</v>
      </c>
      <c r="C3680" s="98">
        <v>2.7</v>
      </c>
    </row>
    <row r="3681" spans="1:3" x14ac:dyDescent="0.3">
      <c r="A3681" s="98" t="s">
        <v>225</v>
      </c>
      <c r="B3681" s="98">
        <v>2016</v>
      </c>
      <c r="C3681" s="98">
        <v>2.7</v>
      </c>
    </row>
    <row r="3682" spans="1:3" x14ac:dyDescent="0.3">
      <c r="A3682" s="98" t="s">
        <v>225</v>
      </c>
      <c r="B3682" s="98">
        <v>2017</v>
      </c>
      <c r="C3682" s="98">
        <v>2.7</v>
      </c>
    </row>
    <row r="3683" spans="1:3" x14ac:dyDescent="0.3">
      <c r="A3683" s="98" t="s">
        <v>225</v>
      </c>
      <c r="B3683" s="98">
        <v>2018</v>
      </c>
      <c r="C3683" s="98">
        <v>2.7</v>
      </c>
    </row>
    <row r="3684" spans="1:3" x14ac:dyDescent="0.3">
      <c r="A3684" s="98" t="s">
        <v>225</v>
      </c>
      <c r="B3684" s="98">
        <v>2019</v>
      </c>
      <c r="C3684" s="98">
        <v>2.7</v>
      </c>
    </row>
    <row r="3685" spans="1:3" x14ac:dyDescent="0.3">
      <c r="A3685" s="98" t="s">
        <v>225</v>
      </c>
      <c r="B3685" s="98">
        <v>2020</v>
      </c>
      <c r="C3685" s="98">
        <v>2.7</v>
      </c>
    </row>
    <row r="3686" spans="1:3" x14ac:dyDescent="0.3">
      <c r="A3686" s="98" t="s">
        <v>225</v>
      </c>
      <c r="B3686" s="98">
        <v>2021</v>
      </c>
      <c r="C3686" s="98">
        <v>2.7</v>
      </c>
    </row>
    <row r="3687" spans="1:3" x14ac:dyDescent="0.3">
      <c r="A3687" s="98" t="s">
        <v>225</v>
      </c>
      <c r="B3687" s="98">
        <v>2022</v>
      </c>
      <c r="C3687" s="98">
        <v>2.7</v>
      </c>
    </row>
    <row r="3688" spans="1:3" x14ac:dyDescent="0.3">
      <c r="A3688" s="98" t="s">
        <v>226</v>
      </c>
      <c r="B3688" s="98">
        <v>2001</v>
      </c>
      <c r="C3688" s="98">
        <v>2.7</v>
      </c>
    </row>
    <row r="3689" spans="1:3" x14ac:dyDescent="0.3">
      <c r="A3689" s="98" t="s">
        <v>226</v>
      </c>
      <c r="B3689" s="98">
        <v>2002</v>
      </c>
      <c r="C3689" s="98">
        <v>2.7</v>
      </c>
    </row>
    <row r="3690" spans="1:3" x14ac:dyDescent="0.3">
      <c r="A3690" s="98" t="s">
        <v>226</v>
      </c>
      <c r="B3690" s="98">
        <v>2003</v>
      </c>
      <c r="C3690" s="98">
        <v>2.7</v>
      </c>
    </row>
    <row r="3691" spans="1:3" x14ac:dyDescent="0.3">
      <c r="A3691" s="98" t="s">
        <v>226</v>
      </c>
      <c r="B3691" s="98">
        <v>2004</v>
      </c>
      <c r="C3691" s="98">
        <v>2.7</v>
      </c>
    </row>
    <row r="3692" spans="1:3" x14ac:dyDescent="0.3">
      <c r="A3692" s="98" t="s">
        <v>226</v>
      </c>
      <c r="B3692" s="98">
        <v>2005</v>
      </c>
      <c r="C3692" s="98">
        <v>2.7</v>
      </c>
    </row>
    <row r="3693" spans="1:3" x14ac:dyDescent="0.3">
      <c r="A3693" s="98" t="s">
        <v>226</v>
      </c>
      <c r="B3693" s="98">
        <v>2006</v>
      </c>
      <c r="C3693" s="98">
        <v>2.7</v>
      </c>
    </row>
    <row r="3694" spans="1:3" x14ac:dyDescent="0.3">
      <c r="A3694" s="98" t="s">
        <v>226</v>
      </c>
      <c r="B3694" s="98">
        <v>2007</v>
      </c>
      <c r="C3694" s="98">
        <v>2.7</v>
      </c>
    </row>
    <row r="3695" spans="1:3" x14ac:dyDescent="0.3">
      <c r="A3695" s="98" t="s">
        <v>226</v>
      </c>
      <c r="B3695" s="98">
        <v>2008</v>
      </c>
      <c r="C3695" s="98">
        <v>2.7</v>
      </c>
    </row>
    <row r="3696" spans="1:3" x14ac:dyDescent="0.3">
      <c r="A3696" s="98" t="s">
        <v>226</v>
      </c>
      <c r="B3696" s="98">
        <v>2009</v>
      </c>
      <c r="C3696" s="98">
        <v>2.7</v>
      </c>
    </row>
    <row r="3697" spans="1:3" x14ac:dyDescent="0.3">
      <c r="A3697" s="98" t="s">
        <v>226</v>
      </c>
      <c r="B3697" s="98">
        <v>2010</v>
      </c>
      <c r="C3697" s="98">
        <v>2.7</v>
      </c>
    </row>
    <row r="3698" spans="1:3" x14ac:dyDescent="0.3">
      <c r="A3698" s="98" t="s">
        <v>226</v>
      </c>
      <c r="B3698" s="98">
        <v>2011</v>
      </c>
      <c r="C3698" s="98">
        <v>2.7</v>
      </c>
    </row>
    <row r="3699" spans="1:3" x14ac:dyDescent="0.3">
      <c r="A3699" s="98" t="s">
        <v>226</v>
      </c>
      <c r="B3699" s="98">
        <v>2012</v>
      </c>
      <c r="C3699" s="98">
        <v>2.7</v>
      </c>
    </row>
    <row r="3700" spans="1:3" x14ac:dyDescent="0.3">
      <c r="A3700" s="98" t="s">
        <v>226</v>
      </c>
      <c r="B3700" s="98">
        <v>2013</v>
      </c>
      <c r="C3700" s="98">
        <v>2.7</v>
      </c>
    </row>
    <row r="3701" spans="1:3" x14ac:dyDescent="0.3">
      <c r="A3701" s="98" t="s">
        <v>226</v>
      </c>
      <c r="B3701" s="98">
        <v>2014</v>
      </c>
      <c r="C3701" s="98">
        <v>2.7</v>
      </c>
    </row>
    <row r="3702" spans="1:3" x14ac:dyDescent="0.3">
      <c r="A3702" s="98" t="s">
        <v>226</v>
      </c>
      <c r="B3702" s="98">
        <v>2015</v>
      </c>
      <c r="C3702" s="98">
        <v>2.7</v>
      </c>
    </row>
    <row r="3703" spans="1:3" x14ac:dyDescent="0.3">
      <c r="A3703" s="98" t="s">
        <v>226</v>
      </c>
      <c r="B3703" s="98">
        <v>2016</v>
      </c>
      <c r="C3703" s="98">
        <v>2.7</v>
      </c>
    </row>
    <row r="3704" spans="1:3" x14ac:dyDescent="0.3">
      <c r="A3704" s="98" t="s">
        <v>226</v>
      </c>
      <c r="B3704" s="98">
        <v>2017</v>
      </c>
      <c r="C3704" s="98">
        <v>2.7</v>
      </c>
    </row>
    <row r="3705" spans="1:3" x14ac:dyDescent="0.3">
      <c r="A3705" s="98" t="s">
        <v>226</v>
      </c>
      <c r="B3705" s="98">
        <v>2018</v>
      </c>
      <c r="C3705" s="98">
        <v>2.7</v>
      </c>
    </row>
    <row r="3706" spans="1:3" x14ac:dyDescent="0.3">
      <c r="A3706" s="98" t="s">
        <v>226</v>
      </c>
      <c r="B3706" s="98">
        <v>2019</v>
      </c>
      <c r="C3706" s="98">
        <v>2.7</v>
      </c>
    </row>
    <row r="3707" spans="1:3" x14ac:dyDescent="0.3">
      <c r="A3707" s="98" t="s">
        <v>226</v>
      </c>
      <c r="B3707" s="98">
        <v>2020</v>
      </c>
      <c r="C3707" s="98">
        <v>2.7</v>
      </c>
    </row>
    <row r="3708" spans="1:3" x14ac:dyDescent="0.3">
      <c r="A3708" s="98" t="s">
        <v>226</v>
      </c>
      <c r="B3708" s="98">
        <v>2021</v>
      </c>
      <c r="C3708" s="98">
        <v>2.7</v>
      </c>
    </row>
    <row r="3709" spans="1:3" x14ac:dyDescent="0.3">
      <c r="A3709" s="98" t="s">
        <v>226</v>
      </c>
      <c r="B3709" s="98">
        <v>2022</v>
      </c>
      <c r="C3709" s="98">
        <v>2.7</v>
      </c>
    </row>
    <row r="3710" spans="1:3" x14ac:dyDescent="0.3">
      <c r="A3710" s="98" t="s">
        <v>227</v>
      </c>
      <c r="B3710" s="98">
        <v>2001</v>
      </c>
      <c r="C3710" s="98">
        <v>2.7</v>
      </c>
    </row>
    <row r="3711" spans="1:3" x14ac:dyDescent="0.3">
      <c r="A3711" s="98" t="s">
        <v>227</v>
      </c>
      <c r="B3711" s="98">
        <v>2002</v>
      </c>
      <c r="C3711" s="98">
        <v>2.7</v>
      </c>
    </row>
    <row r="3712" spans="1:3" x14ac:dyDescent="0.3">
      <c r="A3712" s="98" t="s">
        <v>227</v>
      </c>
      <c r="B3712" s="98">
        <v>2003</v>
      </c>
      <c r="C3712" s="98">
        <v>2.7</v>
      </c>
    </row>
    <row r="3713" spans="1:3" x14ac:dyDescent="0.3">
      <c r="A3713" s="98" t="s">
        <v>227</v>
      </c>
      <c r="B3713" s="98">
        <v>2004</v>
      </c>
      <c r="C3713" s="98">
        <v>2.7</v>
      </c>
    </row>
    <row r="3714" spans="1:3" x14ac:dyDescent="0.3">
      <c r="A3714" s="98" t="s">
        <v>227</v>
      </c>
      <c r="B3714" s="98">
        <v>2005</v>
      </c>
      <c r="C3714" s="98">
        <v>2.7</v>
      </c>
    </row>
    <row r="3715" spans="1:3" x14ac:dyDescent="0.3">
      <c r="A3715" s="98" t="s">
        <v>227</v>
      </c>
      <c r="B3715" s="98">
        <v>2006</v>
      </c>
      <c r="C3715" s="98">
        <v>2.7</v>
      </c>
    </row>
    <row r="3716" spans="1:3" x14ac:dyDescent="0.3">
      <c r="A3716" s="98" t="s">
        <v>227</v>
      </c>
      <c r="B3716" s="98">
        <v>2007</v>
      </c>
      <c r="C3716" s="98">
        <v>2.7</v>
      </c>
    </row>
    <row r="3717" spans="1:3" x14ac:dyDescent="0.3">
      <c r="A3717" s="98" t="s">
        <v>227</v>
      </c>
      <c r="B3717" s="98">
        <v>2008</v>
      </c>
      <c r="C3717" s="98">
        <v>2.7</v>
      </c>
    </row>
    <row r="3718" spans="1:3" x14ac:dyDescent="0.3">
      <c r="A3718" s="98" t="s">
        <v>227</v>
      </c>
      <c r="B3718" s="98">
        <v>2009</v>
      </c>
      <c r="C3718" s="98">
        <v>2.7</v>
      </c>
    </row>
    <row r="3719" spans="1:3" x14ac:dyDescent="0.3">
      <c r="A3719" s="98" t="s">
        <v>227</v>
      </c>
      <c r="B3719" s="98">
        <v>2010</v>
      </c>
      <c r="C3719" s="98">
        <v>2.7</v>
      </c>
    </row>
    <row r="3720" spans="1:3" x14ac:dyDescent="0.3">
      <c r="A3720" s="98" t="s">
        <v>227</v>
      </c>
      <c r="B3720" s="98">
        <v>2011</v>
      </c>
      <c r="C3720" s="98">
        <v>2.7</v>
      </c>
    </row>
    <row r="3721" spans="1:3" x14ac:dyDescent="0.3">
      <c r="A3721" s="98" t="s">
        <v>227</v>
      </c>
      <c r="B3721" s="98">
        <v>2012</v>
      </c>
      <c r="C3721" s="98">
        <v>2.7</v>
      </c>
    </row>
    <row r="3722" spans="1:3" x14ac:dyDescent="0.3">
      <c r="A3722" s="98" t="s">
        <v>227</v>
      </c>
      <c r="B3722" s="98">
        <v>2013</v>
      </c>
      <c r="C3722" s="98">
        <v>2.7</v>
      </c>
    </row>
    <row r="3723" spans="1:3" x14ac:dyDescent="0.3">
      <c r="A3723" s="98" t="s">
        <v>227</v>
      </c>
      <c r="B3723" s="98">
        <v>2014</v>
      </c>
      <c r="C3723" s="98">
        <v>2.7</v>
      </c>
    </row>
    <row r="3724" spans="1:3" x14ac:dyDescent="0.3">
      <c r="A3724" s="98" t="s">
        <v>227</v>
      </c>
      <c r="B3724" s="98">
        <v>2015</v>
      </c>
      <c r="C3724" s="98">
        <v>2.7</v>
      </c>
    </row>
    <row r="3725" spans="1:3" x14ac:dyDescent="0.3">
      <c r="A3725" s="98" t="s">
        <v>227</v>
      </c>
      <c r="B3725" s="98">
        <v>2016</v>
      </c>
      <c r="C3725" s="98">
        <v>2.7</v>
      </c>
    </row>
    <row r="3726" spans="1:3" x14ac:dyDescent="0.3">
      <c r="A3726" s="98" t="s">
        <v>227</v>
      </c>
      <c r="B3726" s="98">
        <v>2017</v>
      </c>
      <c r="C3726" s="98">
        <v>2.7</v>
      </c>
    </row>
    <row r="3727" spans="1:3" x14ac:dyDescent="0.3">
      <c r="A3727" s="98" t="s">
        <v>227</v>
      </c>
      <c r="B3727" s="98">
        <v>2018</v>
      </c>
      <c r="C3727" s="98">
        <v>2.7</v>
      </c>
    </row>
    <row r="3728" spans="1:3" x14ac:dyDescent="0.3">
      <c r="A3728" s="98" t="s">
        <v>227</v>
      </c>
      <c r="B3728" s="98">
        <v>2019</v>
      </c>
      <c r="C3728" s="98">
        <v>2.7</v>
      </c>
    </row>
    <row r="3729" spans="1:3" x14ac:dyDescent="0.3">
      <c r="A3729" s="98" t="s">
        <v>227</v>
      </c>
      <c r="B3729" s="98">
        <v>2020</v>
      </c>
      <c r="C3729" s="98">
        <v>2.7</v>
      </c>
    </row>
    <row r="3730" spans="1:3" x14ac:dyDescent="0.3">
      <c r="A3730" s="98" t="s">
        <v>227</v>
      </c>
      <c r="B3730" s="98">
        <v>2021</v>
      </c>
      <c r="C3730" s="98">
        <v>2.7</v>
      </c>
    </row>
    <row r="3731" spans="1:3" x14ac:dyDescent="0.3">
      <c r="A3731" s="98" t="s">
        <v>227</v>
      </c>
      <c r="B3731" s="98">
        <v>2022</v>
      </c>
      <c r="C3731" s="98">
        <v>2.7</v>
      </c>
    </row>
    <row r="3732" spans="1:3" x14ac:dyDescent="0.3">
      <c r="A3732" s="98" t="s">
        <v>228</v>
      </c>
      <c r="B3732" s="98">
        <v>2001</v>
      </c>
      <c r="C3732" s="98">
        <v>2.6143000000000001</v>
      </c>
    </row>
    <row r="3733" spans="1:3" x14ac:dyDescent="0.3">
      <c r="A3733" s="98" t="s">
        <v>228</v>
      </c>
      <c r="B3733" s="98">
        <v>2002</v>
      </c>
      <c r="C3733" s="98">
        <v>2.6168</v>
      </c>
    </row>
    <row r="3734" spans="1:3" x14ac:dyDescent="0.3">
      <c r="A3734" s="98" t="s">
        <v>228</v>
      </c>
      <c r="B3734" s="98">
        <v>2003</v>
      </c>
      <c r="C3734" s="98">
        <v>2.6015999999999999</v>
      </c>
    </row>
    <row r="3735" spans="1:3" x14ac:dyDescent="0.3">
      <c r="A3735" s="98" t="s">
        <v>228</v>
      </c>
      <c r="B3735" s="98">
        <v>2004</v>
      </c>
      <c r="C3735" s="98">
        <v>2.5063</v>
      </c>
    </row>
    <row r="3736" spans="1:3" x14ac:dyDescent="0.3">
      <c r="A3736" s="98" t="s">
        <v>228</v>
      </c>
      <c r="B3736" s="98">
        <v>2005</v>
      </c>
      <c r="C3736" s="98">
        <v>2.3054000000000001</v>
      </c>
    </row>
    <row r="3737" spans="1:3" x14ac:dyDescent="0.3">
      <c r="A3737" s="98" t="s">
        <v>228</v>
      </c>
      <c r="B3737" s="98">
        <v>2006</v>
      </c>
      <c r="C3737" s="98">
        <v>2.0133000000000001</v>
      </c>
    </row>
    <row r="3738" spans="1:3" x14ac:dyDescent="0.3">
      <c r="A3738" s="98" t="s">
        <v>228</v>
      </c>
      <c r="B3738" s="98">
        <v>2007</v>
      </c>
      <c r="C3738" s="98">
        <v>2.0526</v>
      </c>
    </row>
    <row r="3739" spans="1:3" x14ac:dyDescent="0.3">
      <c r="A3739" s="98" t="s">
        <v>228</v>
      </c>
      <c r="B3739" s="98">
        <v>2008</v>
      </c>
      <c r="C3739" s="98">
        <v>2.1840000000000002</v>
      </c>
    </row>
    <row r="3740" spans="1:3" x14ac:dyDescent="0.3">
      <c r="A3740" s="98" t="s">
        <v>228</v>
      </c>
      <c r="B3740" s="98">
        <v>2009</v>
      </c>
      <c r="C3740" s="98">
        <v>2.2397999999999998</v>
      </c>
    </row>
    <row r="3741" spans="1:3" x14ac:dyDescent="0.3">
      <c r="A3741" s="98" t="s">
        <v>228</v>
      </c>
      <c r="B3741" s="98">
        <v>2010</v>
      </c>
      <c r="C3741" s="98">
        <v>2.4824000000000002</v>
      </c>
    </row>
    <row r="3742" spans="1:3" x14ac:dyDescent="0.3">
      <c r="A3742" s="98" t="s">
        <v>228</v>
      </c>
      <c r="B3742" s="98">
        <v>2011</v>
      </c>
      <c r="C3742" s="98">
        <v>2.6768755</v>
      </c>
    </row>
    <row r="3743" spans="1:3" x14ac:dyDescent="0.3">
      <c r="A3743" s="98" t="s">
        <v>228</v>
      </c>
      <c r="B3743" s="98">
        <v>2012</v>
      </c>
      <c r="C3743" s="98">
        <v>4.4310999999999998</v>
      </c>
    </row>
    <row r="3744" spans="1:3" x14ac:dyDescent="0.3">
      <c r="A3744" s="98" t="s">
        <v>228</v>
      </c>
      <c r="B3744" s="98">
        <v>2013</v>
      </c>
      <c r="C3744" s="98">
        <v>5.6958039999999999</v>
      </c>
    </row>
    <row r="3745" spans="1:3" x14ac:dyDescent="0.3">
      <c r="A3745" s="98" t="s">
        <v>228</v>
      </c>
      <c r="B3745" s="98">
        <v>2014</v>
      </c>
      <c r="C3745" s="98">
        <v>5.9722</v>
      </c>
    </row>
    <row r="3746" spans="1:3" x14ac:dyDescent="0.3">
      <c r="A3746" s="98" t="s">
        <v>228</v>
      </c>
      <c r="B3746" s="98">
        <v>2015</v>
      </c>
      <c r="C3746" s="98">
        <v>6.0922928000000001</v>
      </c>
    </row>
    <row r="3747" spans="1:3" x14ac:dyDescent="0.3">
      <c r="A3747" s="98" t="s">
        <v>228</v>
      </c>
      <c r="B3747" s="98">
        <v>2016</v>
      </c>
      <c r="C3747" s="98">
        <v>6.5942999999999996</v>
      </c>
    </row>
    <row r="3748" spans="1:3" x14ac:dyDescent="0.3">
      <c r="A3748" s="98" t="s">
        <v>228</v>
      </c>
      <c r="B3748" s="98">
        <v>2017</v>
      </c>
      <c r="C3748" s="98">
        <v>6.6833600000000004</v>
      </c>
    </row>
    <row r="3749" spans="1:3" x14ac:dyDescent="0.3">
      <c r="A3749" s="98" t="s">
        <v>228</v>
      </c>
      <c r="B3749" s="98">
        <v>2018</v>
      </c>
      <c r="C3749" s="98">
        <v>47.5</v>
      </c>
    </row>
    <row r="3750" spans="1:3" x14ac:dyDescent="0.3">
      <c r="A3750" s="98" t="s">
        <v>228</v>
      </c>
      <c r="B3750" s="98">
        <v>2019</v>
      </c>
      <c r="C3750" s="98">
        <v>45</v>
      </c>
    </row>
    <row r="3751" spans="1:3" x14ac:dyDescent="0.3">
      <c r="A3751" s="98" t="s">
        <v>228</v>
      </c>
      <c r="B3751" s="98">
        <v>2020</v>
      </c>
      <c r="C3751" s="98">
        <v>55</v>
      </c>
    </row>
    <row r="3752" spans="1:3" x14ac:dyDescent="0.3">
      <c r="A3752" s="98" t="s">
        <v>228</v>
      </c>
      <c r="B3752" s="98">
        <v>2021</v>
      </c>
      <c r="C3752" s="98">
        <v>436.27969999999999</v>
      </c>
    </row>
    <row r="3753" spans="1:3" x14ac:dyDescent="0.3">
      <c r="A3753" s="98" t="s">
        <v>228</v>
      </c>
      <c r="B3753" s="98">
        <v>2022</v>
      </c>
      <c r="C3753" s="98">
        <v>578.17200000000003</v>
      </c>
    </row>
    <row r="3754" spans="1:3" x14ac:dyDescent="0.3">
      <c r="A3754" s="98" t="s">
        <v>229</v>
      </c>
      <c r="B3754" s="98">
        <v>2001</v>
      </c>
      <c r="C3754" s="98">
        <v>2.1785000000000001</v>
      </c>
    </row>
    <row r="3755" spans="1:3" x14ac:dyDescent="0.3">
      <c r="A3755" s="98" t="s">
        <v>229</v>
      </c>
      <c r="B3755" s="98">
        <v>2002</v>
      </c>
      <c r="C3755" s="98">
        <v>2.5150000000000001</v>
      </c>
    </row>
    <row r="3756" spans="1:3" x14ac:dyDescent="0.3">
      <c r="A3756" s="98" t="s">
        <v>229</v>
      </c>
      <c r="B3756" s="98">
        <v>2003</v>
      </c>
      <c r="C3756" s="98">
        <v>2.625</v>
      </c>
    </row>
    <row r="3757" spans="1:3" x14ac:dyDescent="0.3">
      <c r="A3757" s="98" t="s">
        <v>229</v>
      </c>
      <c r="B3757" s="98">
        <v>2004</v>
      </c>
      <c r="C3757" s="98">
        <v>2.7149999999999999</v>
      </c>
    </row>
    <row r="3758" spans="1:3" x14ac:dyDescent="0.3">
      <c r="A3758" s="98" t="s">
        <v>229</v>
      </c>
      <c r="B3758" s="98">
        <v>2005</v>
      </c>
      <c r="C3758" s="98">
        <v>2.74</v>
      </c>
    </row>
    <row r="3759" spans="1:3" x14ac:dyDescent="0.3">
      <c r="A3759" s="98" t="s">
        <v>229</v>
      </c>
      <c r="B3759" s="98">
        <v>2006</v>
      </c>
      <c r="C3759" s="98">
        <v>2.7450000000000001</v>
      </c>
    </row>
    <row r="3760" spans="1:3" x14ac:dyDescent="0.3">
      <c r="A3760" s="98" t="s">
        <v>229</v>
      </c>
      <c r="B3760" s="98">
        <v>2007</v>
      </c>
      <c r="C3760" s="98">
        <v>2.7450000000000001</v>
      </c>
    </row>
    <row r="3761" spans="1:3" x14ac:dyDescent="0.3">
      <c r="A3761" s="98" t="s">
        <v>229</v>
      </c>
      <c r="B3761" s="98">
        <v>2008</v>
      </c>
      <c r="C3761" s="98">
        <v>2.7450000000000001</v>
      </c>
    </row>
    <row r="3762" spans="1:3" x14ac:dyDescent="0.3">
      <c r="A3762" s="98" t="s">
        <v>229</v>
      </c>
      <c r="B3762" s="98">
        <v>2009</v>
      </c>
      <c r="C3762" s="98">
        <v>2.7450000000000001</v>
      </c>
    </row>
    <row r="3763" spans="1:3" x14ac:dyDescent="0.3">
      <c r="A3763" s="98" t="s">
        <v>229</v>
      </c>
      <c r="B3763" s="98">
        <v>2010</v>
      </c>
      <c r="C3763" s="98">
        <v>2.7450000000000001</v>
      </c>
    </row>
    <row r="3764" spans="1:3" x14ac:dyDescent="0.3">
      <c r="A3764" s="98" t="s">
        <v>229</v>
      </c>
      <c r="B3764" s="98">
        <v>2011</v>
      </c>
      <c r="C3764" s="98">
        <v>3.3</v>
      </c>
    </row>
    <row r="3765" spans="1:3" x14ac:dyDescent="0.3">
      <c r="A3765" s="98" t="s">
        <v>229</v>
      </c>
      <c r="B3765" s="98">
        <v>2012</v>
      </c>
      <c r="C3765" s="98">
        <v>3.3</v>
      </c>
    </row>
    <row r="3766" spans="1:3" x14ac:dyDescent="0.3">
      <c r="A3766" s="98" t="s">
        <v>229</v>
      </c>
      <c r="B3766" s="98">
        <v>2013</v>
      </c>
      <c r="C3766" s="98">
        <v>3.3</v>
      </c>
    </row>
    <row r="3767" spans="1:3" x14ac:dyDescent="0.3">
      <c r="A3767" s="98" t="s">
        <v>229</v>
      </c>
      <c r="B3767" s="98">
        <v>2014</v>
      </c>
      <c r="C3767" s="98">
        <v>3.3</v>
      </c>
    </row>
    <row r="3768" spans="1:3" x14ac:dyDescent="0.3">
      <c r="A3768" s="98" t="s">
        <v>229</v>
      </c>
      <c r="B3768" s="98">
        <v>2015</v>
      </c>
      <c r="C3768" s="98">
        <v>4</v>
      </c>
    </row>
    <row r="3769" spans="1:3" x14ac:dyDescent="0.3">
      <c r="A3769" s="98" t="s">
        <v>229</v>
      </c>
      <c r="B3769" s="98">
        <v>2016</v>
      </c>
      <c r="C3769" s="98">
        <v>7.4195000000000002</v>
      </c>
    </row>
    <row r="3770" spans="1:3" x14ac:dyDescent="0.3">
      <c r="A3770" s="98" t="s">
        <v>229</v>
      </c>
      <c r="B3770" s="98">
        <v>2017</v>
      </c>
      <c r="C3770" s="98">
        <v>7.4580000000000002</v>
      </c>
    </row>
    <row r="3771" spans="1:3" x14ac:dyDescent="0.3">
      <c r="A3771" s="98" t="s">
        <v>229</v>
      </c>
      <c r="B3771" s="98">
        <v>2018</v>
      </c>
      <c r="C3771" s="98">
        <v>7.4580000000000002</v>
      </c>
    </row>
    <row r="3772" spans="1:3" x14ac:dyDescent="0.3">
      <c r="A3772" s="98" t="s">
        <v>229</v>
      </c>
      <c r="B3772" s="98">
        <v>2019</v>
      </c>
      <c r="C3772" s="98">
        <v>7.4580000000000002</v>
      </c>
    </row>
    <row r="3773" spans="1:3" x14ac:dyDescent="0.3">
      <c r="A3773" s="98" t="s">
        <v>229</v>
      </c>
      <c r="B3773" s="98">
        <v>2020</v>
      </c>
      <c r="C3773" s="98">
        <v>14.154</v>
      </c>
    </row>
    <row r="3774" spans="1:3" x14ac:dyDescent="0.3">
      <c r="A3774" s="98" t="s">
        <v>229</v>
      </c>
      <c r="B3774" s="98">
        <v>2021</v>
      </c>
      <c r="C3774" s="98">
        <v>21.0945</v>
      </c>
    </row>
    <row r="3775" spans="1:3" x14ac:dyDescent="0.3">
      <c r="A3775" s="98" t="s">
        <v>229</v>
      </c>
      <c r="B3775" s="98">
        <v>2022</v>
      </c>
      <c r="C3775" s="98">
        <v>31.809000000000001</v>
      </c>
    </row>
    <row r="3776" spans="1:3" x14ac:dyDescent="0.3">
      <c r="A3776" s="98" t="s">
        <v>230</v>
      </c>
      <c r="B3776" s="98">
        <v>2001</v>
      </c>
      <c r="C3776" s="98">
        <v>10.6675</v>
      </c>
    </row>
    <row r="3777" spans="1:3" x14ac:dyDescent="0.3">
      <c r="A3777" s="98" t="s">
        <v>230</v>
      </c>
      <c r="B3777" s="98">
        <v>2002</v>
      </c>
      <c r="C3777" s="98">
        <v>8.8249999999999993</v>
      </c>
    </row>
    <row r="3778" spans="1:3" x14ac:dyDescent="0.3">
      <c r="A3778" s="98" t="s">
        <v>230</v>
      </c>
      <c r="B3778" s="98">
        <v>2003</v>
      </c>
      <c r="C3778" s="98">
        <v>7.1891999999999996</v>
      </c>
    </row>
    <row r="3779" spans="1:3" x14ac:dyDescent="0.3">
      <c r="A3779" s="98" t="s">
        <v>230</v>
      </c>
      <c r="B3779" s="98">
        <v>2004</v>
      </c>
      <c r="C3779" s="98">
        <v>6.6146000000000003</v>
      </c>
    </row>
    <row r="3780" spans="1:3" x14ac:dyDescent="0.3">
      <c r="A3780" s="98" t="s">
        <v>230</v>
      </c>
      <c r="B3780" s="98">
        <v>2005</v>
      </c>
      <c r="C3780" s="98">
        <v>7.9584000000000001</v>
      </c>
    </row>
    <row r="3781" spans="1:3" x14ac:dyDescent="0.3">
      <c r="A3781" s="98" t="s">
        <v>230</v>
      </c>
      <c r="B3781" s="98">
        <v>2006</v>
      </c>
      <c r="C3781" s="98">
        <v>6.8643999999999998</v>
      </c>
    </row>
    <row r="3782" spans="1:3" x14ac:dyDescent="0.3">
      <c r="A3782" s="98" t="s">
        <v>230</v>
      </c>
      <c r="B3782" s="98">
        <v>2007</v>
      </c>
      <c r="C3782" s="98">
        <v>6.4135999999999997</v>
      </c>
    </row>
    <row r="3783" spans="1:3" x14ac:dyDescent="0.3">
      <c r="A3783" s="98" t="s">
        <v>230</v>
      </c>
      <c r="B3783" s="98">
        <v>2008</v>
      </c>
      <c r="C3783" s="98">
        <v>7.8106</v>
      </c>
    </row>
    <row r="3784" spans="1:3" x14ac:dyDescent="0.3">
      <c r="A3784" s="98" t="s">
        <v>230</v>
      </c>
      <c r="B3784" s="98">
        <v>2009</v>
      </c>
      <c r="C3784" s="98">
        <v>7.1165000000000003</v>
      </c>
    </row>
    <row r="3785" spans="1:3" x14ac:dyDescent="0.3">
      <c r="A3785" s="98" t="s">
        <v>230</v>
      </c>
      <c r="B3785" s="98">
        <v>2010</v>
      </c>
      <c r="C3785" s="98">
        <v>6.7096999999999998</v>
      </c>
    </row>
    <row r="3786" spans="1:3" x14ac:dyDescent="0.3">
      <c r="A3786" s="98" t="s">
        <v>230</v>
      </c>
      <c r="B3786" s="98">
        <v>2011</v>
      </c>
      <c r="C3786" s="98">
        <v>6.8876999999999997</v>
      </c>
    </row>
    <row r="3787" spans="1:3" x14ac:dyDescent="0.3">
      <c r="A3787" s="98" t="s">
        <v>230</v>
      </c>
      <c r="B3787" s="98">
        <v>2012</v>
      </c>
      <c r="C3787" s="98">
        <v>6.5045000000000002</v>
      </c>
    </row>
    <row r="3788" spans="1:3" x14ac:dyDescent="0.3">
      <c r="A3788" s="98" t="s">
        <v>230</v>
      </c>
      <c r="B3788" s="98">
        <v>2013</v>
      </c>
      <c r="C3788" s="98">
        <v>6.4238</v>
      </c>
    </row>
    <row r="3789" spans="1:3" x14ac:dyDescent="0.3">
      <c r="A3789" s="98" t="s">
        <v>230</v>
      </c>
      <c r="B3789" s="98">
        <v>2014</v>
      </c>
      <c r="C3789" s="98">
        <v>7.7366000000000001</v>
      </c>
    </row>
    <row r="3790" spans="1:3" x14ac:dyDescent="0.3">
      <c r="A3790" s="98" t="s">
        <v>230</v>
      </c>
      <c r="B3790" s="98">
        <v>2015</v>
      </c>
      <c r="C3790" s="98">
        <v>8.4407999999999994</v>
      </c>
    </row>
    <row r="3791" spans="1:3" x14ac:dyDescent="0.3">
      <c r="A3791" s="98" t="s">
        <v>230</v>
      </c>
      <c r="B3791" s="98">
        <v>2016</v>
      </c>
      <c r="C3791" s="98">
        <v>9.0622000000000007</v>
      </c>
    </row>
    <row r="3792" spans="1:3" x14ac:dyDescent="0.3">
      <c r="A3792" s="98" t="s">
        <v>230</v>
      </c>
      <c r="B3792" s="98">
        <v>2017</v>
      </c>
      <c r="C3792" s="98">
        <v>8.2080000000000002</v>
      </c>
    </row>
    <row r="3793" spans="1:3" x14ac:dyDescent="0.3">
      <c r="A3793" s="98" t="s">
        <v>230</v>
      </c>
      <c r="B3793" s="98">
        <v>2018</v>
      </c>
      <c r="C3793" s="98">
        <v>8.9562000000000008</v>
      </c>
    </row>
    <row r="3794" spans="1:3" x14ac:dyDescent="0.3">
      <c r="A3794" s="98" t="s">
        <v>230</v>
      </c>
      <c r="B3794" s="98">
        <v>2019</v>
      </c>
      <c r="C3794" s="98">
        <v>9.2993000000000006</v>
      </c>
    </row>
    <row r="3795" spans="1:3" x14ac:dyDescent="0.3">
      <c r="A3795" s="98" t="s">
        <v>230</v>
      </c>
      <c r="B3795" s="98">
        <v>2020</v>
      </c>
      <c r="C3795" s="98">
        <v>8.1771999999999991</v>
      </c>
    </row>
    <row r="3796" spans="1:3" x14ac:dyDescent="0.3">
      <c r="A3796" s="98" t="s">
        <v>230</v>
      </c>
      <c r="B3796" s="98">
        <v>2021</v>
      </c>
      <c r="C3796" s="98">
        <v>9.0381</v>
      </c>
    </row>
    <row r="3797" spans="1:3" x14ac:dyDescent="0.3">
      <c r="A3797" s="98" t="s">
        <v>230</v>
      </c>
      <c r="B3797" s="98">
        <v>2022</v>
      </c>
      <c r="C3797" s="98">
        <v>10.427300000000001</v>
      </c>
    </row>
    <row r="3798" spans="1:3" x14ac:dyDescent="0.3">
      <c r="A3798" s="98" t="s">
        <v>231</v>
      </c>
      <c r="B3798" s="98">
        <v>2001</v>
      </c>
      <c r="C3798" s="98">
        <v>1.6773</v>
      </c>
    </row>
    <row r="3799" spans="1:3" x14ac:dyDescent="0.3">
      <c r="A3799" s="98" t="s">
        <v>231</v>
      </c>
      <c r="B3799" s="98">
        <v>2002</v>
      </c>
      <c r="C3799" s="98">
        <v>1.3868</v>
      </c>
    </row>
    <row r="3800" spans="1:3" x14ac:dyDescent="0.3">
      <c r="A3800" s="98" t="s">
        <v>231</v>
      </c>
      <c r="B3800" s="98">
        <v>2003</v>
      </c>
      <c r="C3800" s="98">
        <v>1.2369000000000001</v>
      </c>
    </row>
    <row r="3801" spans="1:3" x14ac:dyDescent="0.3">
      <c r="A3801" s="98" t="s">
        <v>231</v>
      </c>
      <c r="B3801" s="98">
        <v>2004</v>
      </c>
      <c r="C3801" s="98">
        <v>1.1315999999999999</v>
      </c>
    </row>
    <row r="3802" spans="1:3" x14ac:dyDescent="0.3">
      <c r="A3802" s="98" t="s">
        <v>231</v>
      </c>
      <c r="B3802" s="98">
        <v>2005</v>
      </c>
      <c r="C3802" s="98">
        <v>1.3143</v>
      </c>
    </row>
    <row r="3803" spans="1:3" x14ac:dyDescent="0.3">
      <c r="A3803" s="98" t="s">
        <v>231</v>
      </c>
      <c r="B3803" s="98">
        <v>2006</v>
      </c>
      <c r="C3803" s="98">
        <v>1.2202999999999999</v>
      </c>
    </row>
    <row r="3804" spans="1:3" x14ac:dyDescent="0.3">
      <c r="A3804" s="98" t="s">
        <v>231</v>
      </c>
      <c r="B3804" s="98">
        <v>2007</v>
      </c>
      <c r="C3804" s="98">
        <v>1.1254999999999999</v>
      </c>
    </row>
    <row r="3805" spans="1:3" x14ac:dyDescent="0.3">
      <c r="A3805" s="98" t="s">
        <v>231</v>
      </c>
      <c r="B3805" s="98">
        <v>2008</v>
      </c>
      <c r="C3805" s="98">
        <v>1.0637000000000001</v>
      </c>
    </row>
    <row r="3806" spans="1:3" x14ac:dyDescent="0.3">
      <c r="A3806" s="98" t="s">
        <v>231</v>
      </c>
      <c r="B3806" s="98">
        <v>2009</v>
      </c>
      <c r="C3806" s="98">
        <v>1.0305</v>
      </c>
    </row>
    <row r="3807" spans="1:3" x14ac:dyDescent="0.3">
      <c r="A3807" s="98" t="s">
        <v>231</v>
      </c>
      <c r="B3807" s="98">
        <v>2010</v>
      </c>
      <c r="C3807" s="98">
        <v>0.93959999999999999</v>
      </c>
    </row>
    <row r="3808" spans="1:3" x14ac:dyDescent="0.3">
      <c r="A3808" s="98" t="s">
        <v>231</v>
      </c>
      <c r="B3808" s="98">
        <v>2011</v>
      </c>
      <c r="C3808" s="98">
        <v>0.94089999999999996</v>
      </c>
    </row>
    <row r="3809" spans="1:3" x14ac:dyDescent="0.3">
      <c r="A3809" s="98" t="s">
        <v>231</v>
      </c>
      <c r="B3809" s="98">
        <v>2012</v>
      </c>
      <c r="C3809" s="98">
        <v>0.91659999999999997</v>
      </c>
    </row>
    <row r="3810" spans="1:3" x14ac:dyDescent="0.3">
      <c r="A3810" s="98" t="s">
        <v>231</v>
      </c>
      <c r="B3810" s="98">
        <v>2013</v>
      </c>
      <c r="C3810" s="98">
        <v>0.89149999999999996</v>
      </c>
    </row>
    <row r="3811" spans="1:3" x14ac:dyDescent="0.3">
      <c r="A3811" s="98" t="s">
        <v>231</v>
      </c>
      <c r="B3811" s="98">
        <v>2014</v>
      </c>
      <c r="C3811" s="98">
        <v>0.98909999999999998</v>
      </c>
    </row>
    <row r="3812" spans="1:3" x14ac:dyDescent="0.3">
      <c r="A3812" s="98" t="s">
        <v>231</v>
      </c>
      <c r="B3812" s="98">
        <v>2015</v>
      </c>
      <c r="C3812" s="98">
        <v>0.99209999999999998</v>
      </c>
    </row>
    <row r="3813" spans="1:3" x14ac:dyDescent="0.3">
      <c r="A3813" s="98" t="s">
        <v>231</v>
      </c>
      <c r="B3813" s="98">
        <v>2016</v>
      </c>
      <c r="C3813" s="98">
        <v>1.016</v>
      </c>
    </row>
    <row r="3814" spans="1:3" x14ac:dyDescent="0.3">
      <c r="A3814" s="98" t="s">
        <v>231</v>
      </c>
      <c r="B3814" s="98">
        <v>2017</v>
      </c>
      <c r="C3814" s="98">
        <v>0.97529999999999994</v>
      </c>
    </row>
    <row r="3815" spans="1:3" x14ac:dyDescent="0.3">
      <c r="A3815" s="98" t="s">
        <v>231</v>
      </c>
      <c r="B3815" s="98">
        <v>2018</v>
      </c>
      <c r="C3815" s="98">
        <v>0.98499999999999999</v>
      </c>
    </row>
    <row r="3816" spans="1:3" x14ac:dyDescent="0.3">
      <c r="A3816" s="98" t="s">
        <v>231</v>
      </c>
      <c r="B3816" s="98">
        <v>2019</v>
      </c>
      <c r="C3816" s="98">
        <v>0.96825000000000006</v>
      </c>
    </row>
    <row r="3817" spans="1:3" x14ac:dyDescent="0.3">
      <c r="A3817" s="98" t="s">
        <v>231</v>
      </c>
      <c r="B3817" s="98">
        <v>2020</v>
      </c>
      <c r="C3817" s="98">
        <v>0.88119999999999998</v>
      </c>
    </row>
    <row r="3818" spans="1:3" x14ac:dyDescent="0.3">
      <c r="A3818" s="98" t="s">
        <v>231</v>
      </c>
      <c r="B3818" s="98">
        <v>2021</v>
      </c>
      <c r="C3818" s="98">
        <v>0.91269999999999996</v>
      </c>
    </row>
    <row r="3819" spans="1:3" x14ac:dyDescent="0.3">
      <c r="A3819" s="98" t="s">
        <v>231</v>
      </c>
      <c r="B3819" s="98">
        <v>2022</v>
      </c>
      <c r="C3819" s="98">
        <v>0.92325000000000002</v>
      </c>
    </row>
    <row r="3820" spans="1:3" x14ac:dyDescent="0.3">
      <c r="A3820" s="98" t="s">
        <v>232</v>
      </c>
      <c r="B3820" s="98">
        <v>2001</v>
      </c>
      <c r="C3820" s="98">
        <v>11.225</v>
      </c>
    </row>
    <row r="3821" spans="1:3" x14ac:dyDescent="0.3">
      <c r="A3821" s="98" t="s">
        <v>232</v>
      </c>
      <c r="B3821" s="98">
        <v>2002</v>
      </c>
      <c r="C3821" s="98">
        <v>11.225</v>
      </c>
    </row>
    <row r="3822" spans="1:3" x14ac:dyDescent="0.3">
      <c r="A3822" s="98" t="s">
        <v>232</v>
      </c>
      <c r="B3822" s="98">
        <v>2003</v>
      </c>
      <c r="C3822" s="98">
        <v>11.225</v>
      </c>
    </row>
    <row r="3823" spans="1:3" x14ac:dyDescent="0.3">
      <c r="A3823" s="98" t="s">
        <v>232</v>
      </c>
      <c r="B3823" s="98">
        <v>2004</v>
      </c>
      <c r="C3823" s="98">
        <v>11.225</v>
      </c>
    </row>
    <row r="3824" spans="1:3" x14ac:dyDescent="0.3">
      <c r="A3824" s="98" t="s">
        <v>232</v>
      </c>
      <c r="B3824" s="98">
        <v>2005</v>
      </c>
      <c r="C3824" s="98">
        <v>11.225</v>
      </c>
    </row>
    <row r="3825" spans="1:3" x14ac:dyDescent="0.3">
      <c r="A3825" s="98" t="s">
        <v>232</v>
      </c>
      <c r="B3825" s="98">
        <v>2006</v>
      </c>
      <c r="C3825" s="98">
        <v>11.225</v>
      </c>
    </row>
    <row r="3826" spans="1:3" x14ac:dyDescent="0.3">
      <c r="A3826" s="98" t="s">
        <v>232</v>
      </c>
      <c r="B3826" s="98">
        <v>2007</v>
      </c>
      <c r="C3826" s="98">
        <v>11.225</v>
      </c>
    </row>
    <row r="3827" spans="1:3" x14ac:dyDescent="0.3">
      <c r="A3827" s="98" t="s">
        <v>232</v>
      </c>
      <c r="B3827" s="98">
        <v>2008</v>
      </c>
      <c r="C3827" s="98">
        <v>11.225</v>
      </c>
    </row>
    <row r="3828" spans="1:3" x14ac:dyDescent="0.3">
      <c r="A3828" s="98" t="s">
        <v>232</v>
      </c>
      <c r="B3828" s="98">
        <v>2009</v>
      </c>
      <c r="C3828" s="98">
        <v>11.225</v>
      </c>
    </row>
    <row r="3829" spans="1:3" x14ac:dyDescent="0.3">
      <c r="A3829" s="98" t="s">
        <v>232</v>
      </c>
      <c r="B3829" s="98">
        <v>2010</v>
      </c>
      <c r="C3829" s="98">
        <v>11.225</v>
      </c>
    </row>
    <row r="3830" spans="1:3" x14ac:dyDescent="0.3">
      <c r="A3830" s="98" t="s">
        <v>232</v>
      </c>
      <c r="B3830" s="98">
        <v>2011</v>
      </c>
      <c r="C3830" s="98">
        <v>55.72</v>
      </c>
    </row>
    <row r="3831" spans="1:3" x14ac:dyDescent="0.3">
      <c r="A3831" s="98" t="s">
        <v>232</v>
      </c>
      <c r="B3831" s="98">
        <v>2012</v>
      </c>
      <c r="C3831" s="98">
        <v>77.510000000000005</v>
      </c>
    </row>
    <row r="3832" spans="1:3" x14ac:dyDescent="0.3">
      <c r="A3832" s="98" t="s">
        <v>232</v>
      </c>
      <c r="B3832" s="98">
        <v>2013</v>
      </c>
      <c r="C3832" s="98">
        <v>141.80000000000001</v>
      </c>
    </row>
    <row r="3833" spans="1:3" x14ac:dyDescent="0.3">
      <c r="A3833" s="98" t="s">
        <v>232</v>
      </c>
      <c r="B3833" s="98">
        <v>2014</v>
      </c>
      <c r="C3833" s="98">
        <v>180.89</v>
      </c>
    </row>
    <row r="3834" spans="1:3" x14ac:dyDescent="0.3">
      <c r="A3834" s="98" t="s">
        <v>232</v>
      </c>
      <c r="B3834" s="98">
        <v>2015</v>
      </c>
      <c r="C3834" s="98">
        <v>313.06</v>
      </c>
    </row>
    <row r="3835" spans="1:3" x14ac:dyDescent="0.3">
      <c r="A3835" s="98" t="s">
        <v>232</v>
      </c>
      <c r="B3835" s="98">
        <v>2016</v>
      </c>
      <c r="C3835" s="98">
        <v>498.57</v>
      </c>
    </row>
    <row r="3836" spans="1:3" x14ac:dyDescent="0.3">
      <c r="A3836" s="98" t="s">
        <v>232</v>
      </c>
      <c r="B3836" s="98">
        <v>2017</v>
      </c>
      <c r="C3836" s="98">
        <v>436.5</v>
      </c>
    </row>
    <row r="3837" spans="1:3" x14ac:dyDescent="0.3">
      <c r="A3837" s="98" t="s">
        <v>232</v>
      </c>
      <c r="B3837" s="98">
        <v>2018</v>
      </c>
    </row>
    <row r="3838" spans="1:3" x14ac:dyDescent="0.3">
      <c r="A3838" s="98" t="s">
        <v>232</v>
      </c>
      <c r="B3838" s="98">
        <v>2019</v>
      </c>
    </row>
    <row r="3839" spans="1:3" x14ac:dyDescent="0.3">
      <c r="A3839" s="98" t="s">
        <v>232</v>
      </c>
      <c r="B3839" s="98">
        <v>2020</v>
      </c>
    </row>
    <row r="3840" spans="1:3" x14ac:dyDescent="0.3">
      <c r="A3840" s="98" t="s">
        <v>232</v>
      </c>
      <c r="B3840" s="98">
        <v>2021</v>
      </c>
    </row>
    <row r="3841" spans="1:3" x14ac:dyDescent="0.3">
      <c r="A3841" s="98" t="s">
        <v>232</v>
      </c>
      <c r="B3841" s="98">
        <v>2022</v>
      </c>
    </row>
    <row r="3842" spans="1:3" x14ac:dyDescent="0.3">
      <c r="A3842" s="98" t="s">
        <v>233</v>
      </c>
      <c r="B3842" s="98">
        <v>2001</v>
      </c>
      <c r="C3842" s="98">
        <v>9.0197099999999999</v>
      </c>
    </row>
    <row r="3843" spans="1:3" x14ac:dyDescent="0.3">
      <c r="A3843" s="98" t="s">
        <v>233</v>
      </c>
      <c r="B3843" s="98">
        <v>2002</v>
      </c>
      <c r="C3843" s="98">
        <v>9.1918399999999991</v>
      </c>
    </row>
    <row r="3844" spans="1:3" x14ac:dyDescent="0.3">
      <c r="A3844" s="98" t="s">
        <v>233</v>
      </c>
      <c r="B3844" s="98">
        <v>2003</v>
      </c>
      <c r="C3844" s="98">
        <v>9.4558999999999997</v>
      </c>
    </row>
    <row r="3845" spans="1:3" x14ac:dyDescent="0.3">
      <c r="A3845" s="98" t="s">
        <v>233</v>
      </c>
      <c r="B3845" s="98">
        <v>2004</v>
      </c>
      <c r="C3845" s="98">
        <v>10.103960000000001</v>
      </c>
    </row>
    <row r="3846" spans="1:3" x14ac:dyDescent="0.3">
      <c r="A3846" s="98" t="s">
        <v>233</v>
      </c>
      <c r="B3846" s="98">
        <v>2005</v>
      </c>
      <c r="C3846" s="98">
        <v>11.9297</v>
      </c>
    </row>
    <row r="3847" spans="1:3" x14ac:dyDescent="0.3">
      <c r="A3847" s="98" t="s">
        <v>233</v>
      </c>
      <c r="B3847" s="98">
        <v>2006</v>
      </c>
      <c r="C3847" s="98">
        <v>13.07394</v>
      </c>
    </row>
    <row r="3848" spans="1:3" x14ac:dyDescent="0.3">
      <c r="A3848" s="98" t="s">
        <v>233</v>
      </c>
      <c r="B3848" s="98">
        <v>2007</v>
      </c>
      <c r="C3848" s="98">
        <v>14.36234</v>
      </c>
    </row>
    <row r="3849" spans="1:3" x14ac:dyDescent="0.3">
      <c r="A3849" s="98" t="s">
        <v>233</v>
      </c>
      <c r="B3849" s="98">
        <v>2008</v>
      </c>
      <c r="C3849" s="98">
        <v>15.228109999999999</v>
      </c>
    </row>
    <row r="3850" spans="1:3" x14ac:dyDescent="0.3">
      <c r="A3850" s="98" t="s">
        <v>233</v>
      </c>
      <c r="B3850" s="98">
        <v>2009</v>
      </c>
      <c r="C3850" s="98">
        <v>16.814489999999999</v>
      </c>
    </row>
    <row r="3851" spans="1:3" x14ac:dyDescent="0.3">
      <c r="A3851" s="98" t="s">
        <v>233</v>
      </c>
      <c r="B3851" s="98">
        <v>2010</v>
      </c>
      <c r="C3851" s="98">
        <v>18.335578999999999</v>
      </c>
    </row>
    <row r="3852" spans="1:3" x14ac:dyDescent="0.3">
      <c r="A3852" s="98" t="s">
        <v>233</v>
      </c>
      <c r="B3852" s="98">
        <v>2011</v>
      </c>
      <c r="C3852" s="98">
        <v>19.008459999999999</v>
      </c>
    </row>
    <row r="3853" spans="1:3" x14ac:dyDescent="0.3">
      <c r="A3853" s="98" t="s">
        <v>233</v>
      </c>
      <c r="B3853" s="98">
        <v>2012</v>
      </c>
      <c r="C3853" s="98">
        <v>18.584540000000001</v>
      </c>
    </row>
    <row r="3854" spans="1:3" x14ac:dyDescent="0.3">
      <c r="A3854" s="98" t="s">
        <v>233</v>
      </c>
      <c r="B3854" s="98">
        <v>2013</v>
      </c>
      <c r="C3854" s="98">
        <v>17.77552</v>
      </c>
    </row>
    <row r="3855" spans="1:3" x14ac:dyDescent="0.3">
      <c r="A3855" s="98" t="s">
        <v>233</v>
      </c>
      <c r="B3855" s="98">
        <v>2014</v>
      </c>
      <c r="C3855" s="98">
        <v>20.148029999999999</v>
      </c>
    </row>
    <row r="3856" spans="1:3" x14ac:dyDescent="0.3">
      <c r="A3856" s="98" t="s">
        <v>233</v>
      </c>
      <c r="B3856" s="98">
        <v>2015</v>
      </c>
      <c r="C3856" s="98">
        <v>22.423580000000001</v>
      </c>
    </row>
    <row r="3857" spans="1:3" x14ac:dyDescent="0.3">
      <c r="A3857" s="98" t="s">
        <v>233</v>
      </c>
      <c r="B3857" s="98">
        <v>2016</v>
      </c>
      <c r="C3857" s="98">
        <v>23.43825</v>
      </c>
    </row>
    <row r="3858" spans="1:3" x14ac:dyDescent="0.3">
      <c r="A3858" s="98" t="s">
        <v>233</v>
      </c>
      <c r="B3858" s="98">
        <v>2017</v>
      </c>
      <c r="C3858" s="98">
        <v>20.529579999999999</v>
      </c>
    </row>
    <row r="3859" spans="1:3" x14ac:dyDescent="0.3">
      <c r="A3859" s="98" t="s">
        <v>233</v>
      </c>
      <c r="B3859" s="98">
        <v>2018</v>
      </c>
      <c r="C3859" s="98">
        <v>21.389900000000001</v>
      </c>
    </row>
    <row r="3860" spans="1:3" x14ac:dyDescent="0.3">
      <c r="A3860" s="98" t="s">
        <v>233</v>
      </c>
      <c r="B3860" s="98">
        <v>2019</v>
      </c>
      <c r="C3860" s="98">
        <v>21.8965</v>
      </c>
    </row>
    <row r="3861" spans="1:3" x14ac:dyDescent="0.3">
      <c r="A3861" s="98" t="s">
        <v>233</v>
      </c>
      <c r="B3861" s="98">
        <v>2020</v>
      </c>
      <c r="C3861" s="98">
        <v>19.9495</v>
      </c>
    </row>
    <row r="3862" spans="1:3" x14ac:dyDescent="0.3">
      <c r="A3862" s="98" t="s">
        <v>233</v>
      </c>
      <c r="B3862" s="98">
        <v>2021</v>
      </c>
      <c r="C3862" s="98">
        <v>21.675699999999999</v>
      </c>
    </row>
    <row r="3863" spans="1:3" x14ac:dyDescent="0.3">
      <c r="A3863" s="98" t="s">
        <v>233</v>
      </c>
      <c r="B3863" s="98">
        <v>2022</v>
      </c>
    </row>
    <row r="3864" spans="1:3" x14ac:dyDescent="0.3">
      <c r="A3864" s="98" t="s">
        <v>234</v>
      </c>
      <c r="B3864" s="98">
        <v>2001</v>
      </c>
      <c r="C3864" s="98">
        <v>34.999000000000002</v>
      </c>
    </row>
    <row r="3865" spans="1:3" x14ac:dyDescent="0.3">
      <c r="A3865" s="98" t="s">
        <v>234</v>
      </c>
      <c r="B3865" s="98">
        <v>2002</v>
      </c>
      <c r="C3865" s="98">
        <v>34.753</v>
      </c>
    </row>
    <row r="3866" spans="1:3" x14ac:dyDescent="0.3">
      <c r="A3866" s="98" t="s">
        <v>234</v>
      </c>
      <c r="B3866" s="98">
        <v>2003</v>
      </c>
      <c r="C3866" s="98">
        <v>33.978000000000002</v>
      </c>
    </row>
    <row r="3867" spans="1:3" x14ac:dyDescent="0.3">
      <c r="A3867" s="98" t="s">
        <v>234</v>
      </c>
      <c r="B3867" s="98">
        <v>2004</v>
      </c>
      <c r="C3867" s="98">
        <v>31.917000000000002</v>
      </c>
    </row>
    <row r="3868" spans="1:3" x14ac:dyDescent="0.3">
      <c r="A3868" s="98" t="s">
        <v>234</v>
      </c>
      <c r="B3868" s="98">
        <v>2005</v>
      </c>
      <c r="C3868" s="98">
        <v>32.85</v>
      </c>
    </row>
    <row r="3869" spans="1:3" x14ac:dyDescent="0.3">
      <c r="A3869" s="98" t="s">
        <v>234</v>
      </c>
      <c r="B3869" s="98">
        <v>2006</v>
      </c>
      <c r="C3869" s="98">
        <v>32.595999999999997</v>
      </c>
    </row>
    <row r="3870" spans="1:3" x14ac:dyDescent="0.3">
      <c r="A3870" s="98" t="s">
        <v>234</v>
      </c>
      <c r="B3870" s="98">
        <v>2007</v>
      </c>
      <c r="C3870" s="98">
        <v>32.442999999999998</v>
      </c>
    </row>
    <row r="3871" spans="1:3" x14ac:dyDescent="0.3">
      <c r="A3871" s="98" t="s">
        <v>234</v>
      </c>
      <c r="B3871" s="98">
        <v>2008</v>
      </c>
      <c r="C3871" s="98">
        <v>32.86</v>
      </c>
    </row>
    <row r="3872" spans="1:3" x14ac:dyDescent="0.3">
      <c r="A3872" s="98" t="s">
        <v>234</v>
      </c>
      <c r="B3872" s="98">
        <v>2009</v>
      </c>
      <c r="C3872" s="98">
        <v>32.03</v>
      </c>
    </row>
    <row r="3873" spans="1:3" x14ac:dyDescent="0.3">
      <c r="A3873" s="98" t="s">
        <v>234</v>
      </c>
      <c r="B3873" s="98">
        <v>2010</v>
      </c>
      <c r="C3873" s="98">
        <v>30.367999999999999</v>
      </c>
    </row>
    <row r="3874" spans="1:3" x14ac:dyDescent="0.3">
      <c r="A3874" s="98" t="s">
        <v>234</v>
      </c>
      <c r="B3874" s="98">
        <v>2011</v>
      </c>
      <c r="C3874" s="98">
        <v>30.29</v>
      </c>
    </row>
    <row r="3875" spans="1:3" x14ac:dyDescent="0.3">
      <c r="A3875" s="98" t="s">
        <v>234</v>
      </c>
      <c r="B3875" s="98">
        <v>2012</v>
      </c>
      <c r="C3875" s="98">
        <v>29.135999999999999</v>
      </c>
    </row>
    <row r="3876" spans="1:3" x14ac:dyDescent="0.3">
      <c r="A3876" s="98" t="s">
        <v>234</v>
      </c>
      <c r="B3876" s="98">
        <v>2013</v>
      </c>
      <c r="C3876" s="98">
        <v>29.95</v>
      </c>
    </row>
    <row r="3877" spans="1:3" x14ac:dyDescent="0.3">
      <c r="A3877" s="98" t="s">
        <v>234</v>
      </c>
      <c r="B3877" s="98">
        <v>2014</v>
      </c>
      <c r="C3877" s="98">
        <v>31.718</v>
      </c>
    </row>
    <row r="3878" spans="1:3" x14ac:dyDescent="0.3">
      <c r="A3878" s="98" t="s">
        <v>234</v>
      </c>
      <c r="B3878" s="98">
        <v>2015</v>
      </c>
      <c r="C3878" s="98">
        <v>33.066000000000003</v>
      </c>
    </row>
    <row r="3879" spans="1:3" x14ac:dyDescent="0.3">
      <c r="A3879" s="98" t="s">
        <v>234</v>
      </c>
      <c r="B3879" s="98">
        <v>2016</v>
      </c>
      <c r="C3879" s="98">
        <v>32.279000000000003</v>
      </c>
    </row>
    <row r="3880" spans="1:3" x14ac:dyDescent="0.3">
      <c r="A3880" s="98" t="s">
        <v>234</v>
      </c>
      <c r="B3880" s="98">
        <v>2017</v>
      </c>
      <c r="C3880" s="98">
        <v>29.847999999999999</v>
      </c>
    </row>
    <row r="3881" spans="1:3" x14ac:dyDescent="0.3">
      <c r="A3881" s="98" t="s">
        <v>234</v>
      </c>
      <c r="B3881" s="98">
        <v>2018</v>
      </c>
      <c r="C3881" s="98">
        <v>30.733000000000001</v>
      </c>
    </row>
    <row r="3882" spans="1:3" x14ac:dyDescent="0.3">
      <c r="A3882" s="98" t="s">
        <v>234</v>
      </c>
      <c r="B3882" s="98">
        <v>2019</v>
      </c>
      <c r="C3882" s="98">
        <v>30.106000000000002</v>
      </c>
    </row>
    <row r="3883" spans="1:3" x14ac:dyDescent="0.3">
      <c r="A3883" s="98" t="s">
        <v>234</v>
      </c>
      <c r="B3883" s="98">
        <v>2020</v>
      </c>
      <c r="C3883" s="98">
        <v>28.507999999999999</v>
      </c>
    </row>
    <row r="3884" spans="1:3" x14ac:dyDescent="0.3">
      <c r="A3884" s="98" t="s">
        <v>234</v>
      </c>
      <c r="B3884" s="98">
        <v>2021</v>
      </c>
      <c r="C3884" s="98">
        <v>27.69</v>
      </c>
    </row>
    <row r="3885" spans="1:3" x14ac:dyDescent="0.3">
      <c r="A3885" s="98" t="s">
        <v>234</v>
      </c>
      <c r="B3885" s="98">
        <v>2022</v>
      </c>
      <c r="C3885" s="98">
        <v>30.707999999999998</v>
      </c>
    </row>
    <row r="3886" spans="1:3" x14ac:dyDescent="0.3">
      <c r="A3886" s="98" t="s">
        <v>235</v>
      </c>
      <c r="B3886" s="98">
        <v>2001</v>
      </c>
      <c r="C3886" s="98">
        <v>2.5499999999999998</v>
      </c>
    </row>
    <row r="3887" spans="1:3" x14ac:dyDescent="0.3">
      <c r="A3887" s="98" t="s">
        <v>235</v>
      </c>
      <c r="B3887" s="98">
        <v>2002</v>
      </c>
      <c r="C3887" s="98">
        <v>3</v>
      </c>
    </row>
    <row r="3888" spans="1:3" x14ac:dyDescent="0.3">
      <c r="A3888" s="98" t="s">
        <v>235</v>
      </c>
      <c r="B3888" s="98">
        <v>2003</v>
      </c>
      <c r="C3888" s="98">
        <v>2.9565000000000001</v>
      </c>
    </row>
    <row r="3889" spans="1:3" x14ac:dyDescent="0.3">
      <c r="A3889" s="98" t="s">
        <v>235</v>
      </c>
      <c r="B3889" s="98">
        <v>2004</v>
      </c>
      <c r="C3889" s="98">
        <v>3.0369999999999999</v>
      </c>
    </row>
    <row r="3890" spans="1:3" x14ac:dyDescent="0.3">
      <c r="A3890" s="98" t="s">
        <v>235</v>
      </c>
      <c r="B3890" s="98">
        <v>2005</v>
      </c>
      <c r="C3890" s="98">
        <v>3.1993</v>
      </c>
    </row>
    <row r="3891" spans="1:3" x14ac:dyDescent="0.3">
      <c r="A3891" s="98" t="s">
        <v>235</v>
      </c>
      <c r="B3891" s="98">
        <v>2006</v>
      </c>
      <c r="C3891" s="98">
        <v>3.4264999999999999</v>
      </c>
    </row>
    <row r="3892" spans="1:3" x14ac:dyDescent="0.3">
      <c r="A3892" s="98" t="s">
        <v>235</v>
      </c>
      <c r="B3892" s="98">
        <v>2007</v>
      </c>
      <c r="C3892" s="98">
        <v>3.4649000000000001</v>
      </c>
    </row>
    <row r="3893" spans="1:3" x14ac:dyDescent="0.3">
      <c r="A3893" s="98" t="s">
        <v>235</v>
      </c>
      <c r="B3893" s="98">
        <v>2008</v>
      </c>
      <c r="C3893" s="98">
        <v>3.4519000000000002</v>
      </c>
    </row>
    <row r="3894" spans="1:3" x14ac:dyDescent="0.3">
      <c r="A3894" s="98" t="s">
        <v>235</v>
      </c>
      <c r="B3894" s="98">
        <v>2009</v>
      </c>
      <c r="C3894" s="98">
        <v>4.3710000000000004</v>
      </c>
    </row>
    <row r="3895" spans="1:3" x14ac:dyDescent="0.3">
      <c r="A3895" s="98" t="s">
        <v>235</v>
      </c>
      <c r="B3895" s="98">
        <v>2010</v>
      </c>
      <c r="C3895" s="98">
        <v>4.4031000000000002</v>
      </c>
    </row>
    <row r="3896" spans="1:3" x14ac:dyDescent="0.3">
      <c r="A3896" s="98" t="s">
        <v>235</v>
      </c>
      <c r="B3896" s="98">
        <v>2011</v>
      </c>
      <c r="C3896" s="98">
        <v>4.7584999999999997</v>
      </c>
    </row>
    <row r="3897" spans="1:3" x14ac:dyDescent="0.3">
      <c r="A3897" s="98" t="s">
        <v>235</v>
      </c>
      <c r="B3897" s="98">
        <v>2012</v>
      </c>
      <c r="C3897" s="98">
        <v>4.7644000000000002</v>
      </c>
    </row>
    <row r="3898" spans="1:3" x14ac:dyDescent="0.3">
      <c r="A3898" s="98" t="s">
        <v>235</v>
      </c>
      <c r="B3898" s="98">
        <v>2013</v>
      </c>
      <c r="C3898" s="98">
        <v>4.7740999999999998</v>
      </c>
    </row>
    <row r="3899" spans="1:3" x14ac:dyDescent="0.3">
      <c r="A3899" s="98" t="s">
        <v>235</v>
      </c>
      <c r="B3899" s="98">
        <v>2014</v>
      </c>
      <c r="C3899" s="98">
        <v>5.3079000000000001</v>
      </c>
    </row>
    <row r="3900" spans="1:3" x14ac:dyDescent="0.3">
      <c r="A3900" s="98" t="s">
        <v>235</v>
      </c>
      <c r="B3900" s="98">
        <v>2015</v>
      </c>
      <c r="C3900" s="98">
        <v>6.9901999999999997</v>
      </c>
    </row>
    <row r="3901" spans="1:3" x14ac:dyDescent="0.3">
      <c r="A3901" s="98" t="s">
        <v>235</v>
      </c>
      <c r="B3901" s="98">
        <v>2016</v>
      </c>
      <c r="C3901" s="98">
        <v>7.8761999999999999</v>
      </c>
    </row>
    <row r="3902" spans="1:3" x14ac:dyDescent="0.3">
      <c r="A3902" s="98" t="s">
        <v>235</v>
      </c>
      <c r="B3902" s="98">
        <v>2017</v>
      </c>
      <c r="C3902" s="98">
        <v>8.8190000000000008</v>
      </c>
    </row>
    <row r="3903" spans="1:3" x14ac:dyDescent="0.3">
      <c r="A3903" s="98" t="s">
        <v>235</v>
      </c>
      <c r="B3903" s="98">
        <v>2018</v>
      </c>
      <c r="C3903" s="98">
        <v>9.4296000000000006</v>
      </c>
    </row>
    <row r="3904" spans="1:3" x14ac:dyDescent="0.3">
      <c r="A3904" s="98" t="s">
        <v>235</v>
      </c>
      <c r="B3904" s="98">
        <v>2019</v>
      </c>
      <c r="C3904" s="98">
        <v>9.6872000000000007</v>
      </c>
    </row>
    <row r="3905" spans="1:3" x14ac:dyDescent="0.3">
      <c r="A3905" s="98" t="s">
        <v>235</v>
      </c>
      <c r="B3905" s="98">
        <v>2020</v>
      </c>
      <c r="C3905" s="98">
        <v>11.3</v>
      </c>
    </row>
    <row r="3906" spans="1:3" x14ac:dyDescent="0.3">
      <c r="A3906" s="98" t="s">
        <v>235</v>
      </c>
      <c r="B3906" s="98">
        <v>2021</v>
      </c>
      <c r="C3906" s="98">
        <v>11.3</v>
      </c>
    </row>
    <row r="3907" spans="1:3" x14ac:dyDescent="0.3">
      <c r="A3907" s="98" t="s">
        <v>235</v>
      </c>
      <c r="B3907" s="98">
        <v>2022</v>
      </c>
      <c r="C3907" s="98">
        <v>10.202400000000001</v>
      </c>
    </row>
    <row r="3908" spans="1:3" x14ac:dyDescent="0.3">
      <c r="A3908" s="98" t="s">
        <v>236</v>
      </c>
      <c r="B3908" s="98">
        <v>2001</v>
      </c>
      <c r="C3908" s="98">
        <v>916.3</v>
      </c>
    </row>
    <row r="3909" spans="1:3" x14ac:dyDescent="0.3">
      <c r="A3909" s="98" t="s">
        <v>236</v>
      </c>
      <c r="B3909" s="98">
        <v>2002</v>
      </c>
      <c r="C3909" s="98">
        <v>976.3</v>
      </c>
    </row>
    <row r="3910" spans="1:3" x14ac:dyDescent="0.3">
      <c r="A3910" s="98" t="s">
        <v>236</v>
      </c>
      <c r="B3910" s="98">
        <v>2003</v>
      </c>
      <c r="C3910" s="98">
        <v>1063.6199999999999</v>
      </c>
    </row>
    <row r="3911" spans="1:3" x14ac:dyDescent="0.3">
      <c r="A3911" s="98" t="s">
        <v>236</v>
      </c>
      <c r="B3911" s="98">
        <v>2004</v>
      </c>
      <c r="C3911" s="98">
        <v>1042.96</v>
      </c>
    </row>
    <row r="3912" spans="1:3" x14ac:dyDescent="0.3">
      <c r="A3912" s="98" t="s">
        <v>236</v>
      </c>
      <c r="B3912" s="98">
        <v>2005</v>
      </c>
      <c r="C3912" s="98">
        <v>1165.51</v>
      </c>
    </row>
    <row r="3913" spans="1:3" x14ac:dyDescent="0.3">
      <c r="A3913" s="98" t="s">
        <v>236</v>
      </c>
      <c r="B3913" s="98">
        <v>2006</v>
      </c>
      <c r="C3913" s="98">
        <v>1261.6400000000001</v>
      </c>
    </row>
    <row r="3914" spans="1:3" x14ac:dyDescent="0.3">
      <c r="A3914" s="98" t="s">
        <v>236</v>
      </c>
      <c r="B3914" s="98">
        <v>2007</v>
      </c>
      <c r="C3914" s="98">
        <v>1132.0899999999999</v>
      </c>
    </row>
    <row r="3915" spans="1:3" x14ac:dyDescent="0.3">
      <c r="A3915" s="98" t="s">
        <v>236</v>
      </c>
      <c r="B3915" s="98">
        <v>2008</v>
      </c>
      <c r="C3915" s="98">
        <v>1280.3</v>
      </c>
    </row>
    <row r="3916" spans="1:3" x14ac:dyDescent="0.3">
      <c r="A3916" s="98" t="s">
        <v>236</v>
      </c>
      <c r="B3916" s="98">
        <v>2009</v>
      </c>
      <c r="C3916" s="98">
        <v>1326.83</v>
      </c>
    </row>
    <row r="3917" spans="1:3" x14ac:dyDescent="0.3">
      <c r="A3917" s="98" t="s">
        <v>236</v>
      </c>
      <c r="B3917" s="98">
        <v>2010</v>
      </c>
      <c r="C3917" s="98">
        <v>1453.54</v>
      </c>
    </row>
    <row r="3918" spans="1:3" x14ac:dyDescent="0.3">
      <c r="A3918" s="98" t="s">
        <v>236</v>
      </c>
      <c r="B3918" s="98">
        <v>2011</v>
      </c>
      <c r="C3918" s="98">
        <v>1566.66</v>
      </c>
    </row>
    <row r="3919" spans="1:3" x14ac:dyDescent="0.3">
      <c r="A3919" s="98" t="s">
        <v>236</v>
      </c>
      <c r="B3919" s="98">
        <v>2012</v>
      </c>
      <c r="C3919" s="98">
        <v>1571.62</v>
      </c>
    </row>
    <row r="3920" spans="1:3" x14ac:dyDescent="0.3">
      <c r="A3920" s="98" t="s">
        <v>236</v>
      </c>
      <c r="B3920" s="98">
        <v>2013</v>
      </c>
      <c r="C3920" s="98">
        <v>1578.57</v>
      </c>
    </row>
    <row r="3921" spans="1:3" x14ac:dyDescent="0.3">
      <c r="A3921" s="98" t="s">
        <v>236</v>
      </c>
      <c r="B3921" s="98">
        <v>2014</v>
      </c>
      <c r="C3921" s="98">
        <v>1725.78</v>
      </c>
    </row>
    <row r="3922" spans="1:3" x14ac:dyDescent="0.3">
      <c r="A3922" s="98" t="s">
        <v>236</v>
      </c>
      <c r="B3922" s="98">
        <v>2015</v>
      </c>
      <c r="C3922" s="98">
        <v>2148.52</v>
      </c>
    </row>
    <row r="3923" spans="1:3" x14ac:dyDescent="0.3">
      <c r="A3923" s="98" t="s">
        <v>236</v>
      </c>
      <c r="B3923" s="98">
        <v>2016</v>
      </c>
      <c r="C3923" s="98">
        <v>2172.62</v>
      </c>
    </row>
    <row r="3924" spans="1:3" x14ac:dyDescent="0.3">
      <c r="A3924" s="98" t="s">
        <v>236</v>
      </c>
      <c r="B3924" s="98">
        <v>2017</v>
      </c>
      <c r="C3924" s="98">
        <v>2230.0700000000002</v>
      </c>
    </row>
    <row r="3925" spans="1:3" x14ac:dyDescent="0.3">
      <c r="A3925" s="98" t="s">
        <v>236</v>
      </c>
      <c r="B3925" s="98">
        <v>2018</v>
      </c>
      <c r="C3925" s="98">
        <v>2281.23</v>
      </c>
    </row>
    <row r="3926" spans="1:3" x14ac:dyDescent="0.3">
      <c r="A3926" s="98" t="s">
        <v>236</v>
      </c>
      <c r="B3926" s="98">
        <v>2019</v>
      </c>
      <c r="C3926" s="98">
        <v>2287.9299999999998</v>
      </c>
    </row>
    <row r="3927" spans="1:3" x14ac:dyDescent="0.3">
      <c r="A3927" s="98" t="s">
        <v>236</v>
      </c>
      <c r="B3927" s="98">
        <v>2020</v>
      </c>
      <c r="C3927" s="98">
        <v>2298.4648999999999</v>
      </c>
    </row>
    <row r="3928" spans="1:3" x14ac:dyDescent="0.3">
      <c r="A3928" s="98" t="s">
        <v>236</v>
      </c>
      <c r="B3928" s="98">
        <v>2021</v>
      </c>
      <c r="C3928" s="98">
        <v>2297.6091000000001</v>
      </c>
    </row>
    <row r="3929" spans="1:3" x14ac:dyDescent="0.3">
      <c r="A3929" s="98" t="s">
        <v>236</v>
      </c>
      <c r="B3929" s="98">
        <v>2022</v>
      </c>
    </row>
    <row r="3930" spans="1:3" x14ac:dyDescent="0.3">
      <c r="A3930" s="98" t="s">
        <v>237</v>
      </c>
      <c r="B3930" s="98">
        <v>2001</v>
      </c>
      <c r="C3930" s="98">
        <v>44.221699999999998</v>
      </c>
    </row>
    <row r="3931" spans="1:3" x14ac:dyDescent="0.3">
      <c r="A3931" s="98" t="s">
        <v>237</v>
      </c>
      <c r="B3931" s="98">
        <v>2002</v>
      </c>
      <c r="C3931" s="98">
        <v>43.151600000000002</v>
      </c>
    </row>
    <row r="3932" spans="1:3" x14ac:dyDescent="0.3">
      <c r="A3932" s="98" t="s">
        <v>237</v>
      </c>
      <c r="B3932" s="98">
        <v>2003</v>
      </c>
      <c r="C3932" s="98">
        <v>39.590699999999998</v>
      </c>
    </row>
    <row r="3933" spans="1:3" x14ac:dyDescent="0.3">
      <c r="A3933" s="98" t="s">
        <v>237</v>
      </c>
      <c r="B3933" s="98">
        <v>2004</v>
      </c>
      <c r="C3933" s="98">
        <v>39.061199999999999</v>
      </c>
    </row>
    <row r="3934" spans="1:3" x14ac:dyDescent="0.3">
      <c r="A3934" s="98" t="s">
        <v>237</v>
      </c>
      <c r="B3934" s="98">
        <v>2005</v>
      </c>
      <c r="C3934" s="98">
        <v>41.029899999999998</v>
      </c>
    </row>
    <row r="3935" spans="1:3" x14ac:dyDescent="0.3">
      <c r="A3935" s="98" t="s">
        <v>237</v>
      </c>
      <c r="B3935" s="98">
        <v>2006</v>
      </c>
      <c r="C3935" s="98">
        <v>36.045450000000002</v>
      </c>
    </row>
    <row r="3936" spans="1:3" x14ac:dyDescent="0.3">
      <c r="A3936" s="98" t="s">
        <v>237</v>
      </c>
      <c r="B3936" s="98">
        <v>2007</v>
      </c>
      <c r="C3936" s="98">
        <v>33.718449999999997</v>
      </c>
    </row>
    <row r="3937" spans="1:3" x14ac:dyDescent="0.3">
      <c r="A3937" s="98" t="s">
        <v>237</v>
      </c>
      <c r="B3937" s="98">
        <v>2008</v>
      </c>
      <c r="C3937" s="98">
        <v>34.8977</v>
      </c>
    </row>
    <row r="3938" spans="1:3" x14ac:dyDescent="0.3">
      <c r="A3938" s="98" t="s">
        <v>237</v>
      </c>
      <c r="B3938" s="98">
        <v>2009</v>
      </c>
      <c r="C3938" s="98">
        <v>33.319699999999997</v>
      </c>
    </row>
    <row r="3939" spans="1:3" x14ac:dyDescent="0.3">
      <c r="A3939" s="98" t="s">
        <v>237</v>
      </c>
      <c r="B3939" s="98">
        <v>2010</v>
      </c>
      <c r="C3939" s="98">
        <v>30.151299999999999</v>
      </c>
    </row>
    <row r="3940" spans="1:3" x14ac:dyDescent="0.3">
      <c r="A3940" s="98" t="s">
        <v>237</v>
      </c>
      <c r="B3940" s="98">
        <v>2011</v>
      </c>
      <c r="C3940" s="98">
        <v>31.691199999999998</v>
      </c>
    </row>
    <row r="3941" spans="1:3" x14ac:dyDescent="0.3">
      <c r="A3941" s="98" t="s">
        <v>237</v>
      </c>
      <c r="B3941" s="98">
        <v>2012</v>
      </c>
      <c r="C3941" s="98">
        <v>30.631599999999999</v>
      </c>
    </row>
    <row r="3942" spans="1:3" x14ac:dyDescent="0.3">
      <c r="A3942" s="98" t="s">
        <v>237</v>
      </c>
      <c r="B3942" s="98">
        <v>2013</v>
      </c>
      <c r="C3942" s="98">
        <v>32.813600000000001</v>
      </c>
    </row>
    <row r="3943" spans="1:3" x14ac:dyDescent="0.3">
      <c r="A3943" s="98" t="s">
        <v>237</v>
      </c>
      <c r="B3943" s="98">
        <v>2014</v>
      </c>
      <c r="C3943" s="98">
        <v>32.963000000000001</v>
      </c>
    </row>
    <row r="3944" spans="1:3" x14ac:dyDescent="0.3">
      <c r="A3944" s="98" t="s">
        <v>237</v>
      </c>
      <c r="B3944" s="98">
        <v>2015</v>
      </c>
      <c r="C3944" s="98">
        <v>36.0886</v>
      </c>
    </row>
    <row r="3945" spans="1:3" x14ac:dyDescent="0.3">
      <c r="A3945" s="98" t="s">
        <v>237</v>
      </c>
      <c r="B3945" s="98">
        <v>2016</v>
      </c>
      <c r="C3945" s="98">
        <v>35.8307</v>
      </c>
    </row>
    <row r="3946" spans="1:3" x14ac:dyDescent="0.3">
      <c r="A3946" s="98" t="s">
        <v>237</v>
      </c>
      <c r="B3946" s="98">
        <v>2017</v>
      </c>
      <c r="C3946" s="98">
        <v>32.680900000000001</v>
      </c>
    </row>
    <row r="3947" spans="1:3" x14ac:dyDescent="0.3">
      <c r="A3947" s="98" t="s">
        <v>237</v>
      </c>
      <c r="B3947" s="98">
        <v>2018</v>
      </c>
      <c r="C3947" s="98">
        <v>32.449800000000003</v>
      </c>
    </row>
    <row r="3948" spans="1:3" x14ac:dyDescent="0.3">
      <c r="A3948" s="98" t="s">
        <v>237</v>
      </c>
      <c r="B3948" s="98">
        <v>2019</v>
      </c>
      <c r="C3948" s="98">
        <v>30.154</v>
      </c>
    </row>
    <row r="3949" spans="1:3" x14ac:dyDescent="0.3">
      <c r="A3949" s="98" t="s">
        <v>237</v>
      </c>
      <c r="B3949" s="98">
        <v>2020</v>
      </c>
      <c r="C3949" s="98">
        <v>30.037099999999999</v>
      </c>
    </row>
    <row r="3950" spans="1:3" x14ac:dyDescent="0.3">
      <c r="A3950" s="98" t="s">
        <v>237</v>
      </c>
      <c r="B3950" s="98">
        <v>2021</v>
      </c>
      <c r="C3950" s="98">
        <v>33.419899999999998</v>
      </c>
    </row>
    <row r="3951" spans="1:3" x14ac:dyDescent="0.3">
      <c r="A3951" s="98" t="s">
        <v>237</v>
      </c>
      <c r="B3951" s="98">
        <v>2022</v>
      </c>
      <c r="C3951" s="98">
        <v>34.562399999999997</v>
      </c>
    </row>
    <row r="3952" spans="1:3" x14ac:dyDescent="0.3">
      <c r="A3952" s="98" t="s">
        <v>238</v>
      </c>
      <c r="B3952" s="98">
        <v>2001</v>
      </c>
      <c r="C3952" s="98">
        <v>1</v>
      </c>
    </row>
    <row r="3953" spans="1:3" x14ac:dyDescent="0.3">
      <c r="A3953" s="98" t="s">
        <v>238</v>
      </c>
      <c r="B3953" s="98">
        <v>2002</v>
      </c>
      <c r="C3953" s="98">
        <v>1</v>
      </c>
    </row>
    <row r="3954" spans="1:3" x14ac:dyDescent="0.3">
      <c r="A3954" s="98" t="s">
        <v>238</v>
      </c>
      <c r="B3954" s="98">
        <v>2003</v>
      </c>
      <c r="C3954" s="98">
        <v>1</v>
      </c>
    </row>
    <row r="3955" spans="1:3" x14ac:dyDescent="0.3">
      <c r="A3955" s="98" t="s">
        <v>238</v>
      </c>
      <c r="B3955" s="98">
        <v>2004</v>
      </c>
      <c r="C3955" s="98">
        <v>1</v>
      </c>
    </row>
    <row r="3956" spans="1:3" x14ac:dyDescent="0.3">
      <c r="A3956" s="98" t="s">
        <v>238</v>
      </c>
      <c r="B3956" s="98">
        <v>2005</v>
      </c>
      <c r="C3956" s="98">
        <v>1</v>
      </c>
    </row>
    <row r="3957" spans="1:3" x14ac:dyDescent="0.3">
      <c r="A3957" s="98" t="s">
        <v>238</v>
      </c>
      <c r="B3957" s="98">
        <v>2006</v>
      </c>
      <c r="C3957" s="98">
        <v>1</v>
      </c>
    </row>
    <row r="3958" spans="1:3" x14ac:dyDescent="0.3">
      <c r="A3958" s="98" t="s">
        <v>238</v>
      </c>
      <c r="B3958" s="98">
        <v>2007</v>
      </c>
      <c r="C3958" s="98">
        <v>1</v>
      </c>
    </row>
    <row r="3959" spans="1:3" x14ac:dyDescent="0.3">
      <c r="A3959" s="98" t="s">
        <v>238</v>
      </c>
      <c r="B3959" s="98">
        <v>2008</v>
      </c>
      <c r="C3959" s="98">
        <v>1</v>
      </c>
    </row>
    <row r="3960" spans="1:3" x14ac:dyDescent="0.3">
      <c r="A3960" s="98" t="s">
        <v>238</v>
      </c>
      <c r="B3960" s="98">
        <v>2009</v>
      </c>
      <c r="C3960" s="98">
        <v>1</v>
      </c>
    </row>
    <row r="3961" spans="1:3" x14ac:dyDescent="0.3">
      <c r="A3961" s="98" t="s">
        <v>238</v>
      </c>
      <c r="B3961" s="98">
        <v>2010</v>
      </c>
      <c r="C3961" s="98">
        <v>1</v>
      </c>
    </row>
    <row r="3962" spans="1:3" x14ac:dyDescent="0.3">
      <c r="A3962" s="98" t="s">
        <v>238</v>
      </c>
      <c r="B3962" s="98">
        <v>2011</v>
      </c>
      <c r="C3962" s="98">
        <v>1</v>
      </c>
    </row>
    <row r="3963" spans="1:3" x14ac:dyDescent="0.3">
      <c r="A3963" s="98" t="s">
        <v>238</v>
      </c>
      <c r="B3963" s="98">
        <v>2012</v>
      </c>
      <c r="C3963" s="98">
        <v>1</v>
      </c>
    </row>
    <row r="3964" spans="1:3" x14ac:dyDescent="0.3">
      <c r="A3964" s="98" t="s">
        <v>238</v>
      </c>
      <c r="B3964" s="98">
        <v>2013</v>
      </c>
      <c r="C3964" s="98">
        <v>1</v>
      </c>
    </row>
    <row r="3965" spans="1:3" x14ac:dyDescent="0.3">
      <c r="A3965" s="98" t="s">
        <v>238</v>
      </c>
      <c r="B3965" s="98">
        <v>2014</v>
      </c>
      <c r="C3965" s="98">
        <v>1</v>
      </c>
    </row>
    <row r="3966" spans="1:3" x14ac:dyDescent="0.3">
      <c r="A3966" s="98" t="s">
        <v>238</v>
      </c>
      <c r="B3966" s="98">
        <v>2015</v>
      </c>
      <c r="C3966" s="98">
        <v>1</v>
      </c>
    </row>
    <row r="3967" spans="1:3" x14ac:dyDescent="0.3">
      <c r="A3967" s="98" t="s">
        <v>238</v>
      </c>
      <c r="B3967" s="98">
        <v>2016</v>
      </c>
      <c r="C3967" s="98">
        <v>1</v>
      </c>
    </row>
    <row r="3968" spans="1:3" x14ac:dyDescent="0.3">
      <c r="A3968" s="98" t="s">
        <v>238</v>
      </c>
      <c r="B3968" s="98">
        <v>2017</v>
      </c>
      <c r="C3968" s="98">
        <v>1</v>
      </c>
    </row>
    <row r="3969" spans="1:3" x14ac:dyDescent="0.3">
      <c r="A3969" s="98" t="s">
        <v>238</v>
      </c>
      <c r="B3969" s="98">
        <v>2018</v>
      </c>
      <c r="C3969" s="98">
        <v>1</v>
      </c>
    </row>
    <row r="3970" spans="1:3" x14ac:dyDescent="0.3">
      <c r="A3970" s="98" t="s">
        <v>238</v>
      </c>
      <c r="B3970" s="98">
        <v>2019</v>
      </c>
      <c r="C3970" s="98">
        <v>1</v>
      </c>
    </row>
    <row r="3971" spans="1:3" x14ac:dyDescent="0.3">
      <c r="A3971" s="98" t="s">
        <v>238</v>
      </c>
      <c r="B3971" s="98">
        <v>2020</v>
      </c>
      <c r="C3971" s="98">
        <v>1</v>
      </c>
    </row>
    <row r="3972" spans="1:3" x14ac:dyDescent="0.3">
      <c r="A3972" s="98" t="s">
        <v>238</v>
      </c>
      <c r="B3972" s="98">
        <v>2021</v>
      </c>
      <c r="C3972" s="98">
        <v>1</v>
      </c>
    </row>
    <row r="3973" spans="1:3" x14ac:dyDescent="0.3">
      <c r="A3973" s="98" t="s">
        <v>238</v>
      </c>
      <c r="B3973" s="98">
        <v>2022</v>
      </c>
      <c r="C3973" s="98">
        <v>1</v>
      </c>
    </row>
    <row r="3974" spans="1:3" x14ac:dyDescent="0.3">
      <c r="A3974" s="98" t="s">
        <v>239</v>
      </c>
      <c r="B3974" s="98">
        <v>2001</v>
      </c>
      <c r="C3974" s="98">
        <v>744.30614000000003</v>
      </c>
    </row>
    <row r="3975" spans="1:3" x14ac:dyDescent="0.3">
      <c r="A3975" s="98" t="s">
        <v>239</v>
      </c>
      <c r="B3975" s="98">
        <v>2002</v>
      </c>
      <c r="C3975" s="98">
        <v>625.49537999999995</v>
      </c>
    </row>
    <row r="3976" spans="1:3" x14ac:dyDescent="0.3">
      <c r="A3976" s="98" t="s">
        <v>239</v>
      </c>
      <c r="B3976" s="98">
        <v>2003</v>
      </c>
      <c r="C3976" s="98">
        <v>519.36420999999996</v>
      </c>
    </row>
    <row r="3977" spans="1:3" x14ac:dyDescent="0.3">
      <c r="A3977" s="98" t="s">
        <v>239</v>
      </c>
      <c r="B3977" s="98">
        <v>2004</v>
      </c>
      <c r="C3977" s="98">
        <v>481.57771000000002</v>
      </c>
    </row>
    <row r="3978" spans="1:3" x14ac:dyDescent="0.3">
      <c r="A3978" s="98" t="s">
        <v>239</v>
      </c>
      <c r="B3978" s="98">
        <v>2005</v>
      </c>
      <c r="C3978" s="98">
        <v>556.03713000000005</v>
      </c>
    </row>
    <row r="3979" spans="1:3" x14ac:dyDescent="0.3">
      <c r="A3979" s="98" t="s">
        <v>239</v>
      </c>
      <c r="B3979" s="98">
        <v>2006</v>
      </c>
      <c r="C3979" s="98">
        <v>498.06909999999999</v>
      </c>
    </row>
    <row r="3980" spans="1:3" x14ac:dyDescent="0.3">
      <c r="A3980" s="98" t="s">
        <v>239</v>
      </c>
      <c r="B3980" s="98">
        <v>2007</v>
      </c>
      <c r="C3980" s="98">
        <v>445.59269</v>
      </c>
    </row>
    <row r="3981" spans="1:3" x14ac:dyDescent="0.3">
      <c r="A3981" s="98" t="s">
        <v>239</v>
      </c>
      <c r="B3981" s="98">
        <v>2008</v>
      </c>
      <c r="C3981" s="98">
        <v>471.33506</v>
      </c>
    </row>
    <row r="3982" spans="1:3" x14ac:dyDescent="0.3">
      <c r="A3982" s="98" t="s">
        <v>239</v>
      </c>
      <c r="B3982" s="98">
        <v>2009</v>
      </c>
      <c r="C3982" s="98">
        <v>455.33596999999997</v>
      </c>
    </row>
    <row r="3983" spans="1:3" x14ac:dyDescent="0.3">
      <c r="A3983" s="98" t="s">
        <v>239</v>
      </c>
      <c r="B3983" s="98">
        <v>2010</v>
      </c>
      <c r="C3983" s="98">
        <v>490.91228999999998</v>
      </c>
    </row>
    <row r="3984" spans="1:3" x14ac:dyDescent="0.3">
      <c r="A3984" s="98" t="s">
        <v>239</v>
      </c>
      <c r="B3984" s="98">
        <v>2011</v>
      </c>
      <c r="C3984" s="98">
        <v>506.96113000000003</v>
      </c>
    </row>
    <row r="3985" spans="1:3" x14ac:dyDescent="0.3">
      <c r="A3985" s="98" t="s">
        <v>239</v>
      </c>
      <c r="B3985" s="98">
        <v>2012</v>
      </c>
      <c r="C3985" s="98">
        <v>497.16309999999999</v>
      </c>
    </row>
    <row r="3986" spans="1:3" x14ac:dyDescent="0.3">
      <c r="A3986" s="98" t="s">
        <v>239</v>
      </c>
      <c r="B3986" s="98">
        <v>2013</v>
      </c>
      <c r="C3986" s="98">
        <v>475.64136000000002</v>
      </c>
    </row>
    <row r="3987" spans="1:3" x14ac:dyDescent="0.3">
      <c r="A3987" s="98" t="s">
        <v>239</v>
      </c>
      <c r="B3987" s="98">
        <v>2014</v>
      </c>
      <c r="C3987" s="98">
        <v>540.28251</v>
      </c>
    </row>
    <row r="3988" spans="1:3" x14ac:dyDescent="0.3">
      <c r="A3988" s="98" t="s">
        <v>239</v>
      </c>
      <c r="B3988" s="98">
        <v>2015</v>
      </c>
      <c r="C3988" s="98">
        <v>602.51400999999998</v>
      </c>
    </row>
    <row r="3989" spans="1:3" x14ac:dyDescent="0.3">
      <c r="A3989" s="98" t="s">
        <v>239</v>
      </c>
      <c r="B3989" s="98">
        <v>2016</v>
      </c>
      <c r="C3989" s="98">
        <v>622.29105000000004</v>
      </c>
    </row>
    <row r="3990" spans="1:3" x14ac:dyDescent="0.3">
      <c r="A3990" s="98" t="s">
        <v>239</v>
      </c>
      <c r="B3990" s="98">
        <v>2017</v>
      </c>
      <c r="C3990" s="98">
        <v>546.94988999999998</v>
      </c>
    </row>
    <row r="3991" spans="1:3" x14ac:dyDescent="0.3">
      <c r="A3991" s="98" t="s">
        <v>239</v>
      </c>
      <c r="B3991" s="98">
        <v>2018</v>
      </c>
      <c r="C3991" s="98">
        <v>572.88820999999996</v>
      </c>
    </row>
    <row r="3992" spans="1:3" x14ac:dyDescent="0.3">
      <c r="A3992" s="98" t="s">
        <v>239</v>
      </c>
      <c r="B3992" s="98">
        <v>2019</v>
      </c>
      <c r="C3992" s="98">
        <v>583.90332999999998</v>
      </c>
    </row>
    <row r="3993" spans="1:3" x14ac:dyDescent="0.3">
      <c r="A3993" s="98" t="s">
        <v>239</v>
      </c>
      <c r="B3993" s="98">
        <v>2020</v>
      </c>
      <c r="C3993" s="98">
        <v>534.55871999999999</v>
      </c>
    </row>
    <row r="3994" spans="1:3" x14ac:dyDescent="0.3">
      <c r="A3994" s="98" t="s">
        <v>239</v>
      </c>
      <c r="B3994" s="98">
        <v>2021</v>
      </c>
      <c r="C3994" s="98">
        <v>579.16034000000002</v>
      </c>
    </row>
    <row r="3995" spans="1:3" x14ac:dyDescent="0.3">
      <c r="A3995" s="98" t="s">
        <v>239</v>
      </c>
      <c r="B3995" s="98">
        <v>2022</v>
      </c>
      <c r="C3995" s="98">
        <v>614.99811999999997</v>
      </c>
    </row>
    <row r="3996" spans="1:3" x14ac:dyDescent="0.3">
      <c r="A3996" s="98" t="s">
        <v>240</v>
      </c>
      <c r="B3996" s="98">
        <v>2001</v>
      </c>
      <c r="C3996" s="98">
        <v>2.2070183000000001</v>
      </c>
    </row>
    <row r="3997" spans="1:3" x14ac:dyDescent="0.3">
      <c r="A3997" s="98" t="s">
        <v>240</v>
      </c>
      <c r="B3997" s="98">
        <v>2002</v>
      </c>
      <c r="C3997" s="98">
        <v>2.2286606</v>
      </c>
    </row>
    <row r="3998" spans="1:3" x14ac:dyDescent="0.3">
      <c r="A3998" s="98" t="s">
        <v>240</v>
      </c>
      <c r="B3998" s="98">
        <v>2003</v>
      </c>
      <c r="C3998" s="98">
        <v>2.0202019999999998</v>
      </c>
    </row>
    <row r="3999" spans="1:3" x14ac:dyDescent="0.3">
      <c r="A3999" s="98" t="s">
        <v>240</v>
      </c>
      <c r="B3999" s="98">
        <v>2004</v>
      </c>
      <c r="C3999" s="98">
        <v>1.9116804000000001</v>
      </c>
    </row>
    <row r="4000" spans="1:3" x14ac:dyDescent="0.3">
      <c r="A4000" s="98" t="s">
        <v>240</v>
      </c>
      <c r="B4000" s="98">
        <v>2005</v>
      </c>
      <c r="C4000" s="98">
        <v>2.0597322</v>
      </c>
    </row>
    <row r="4001" spans="1:3" x14ac:dyDescent="0.3">
      <c r="A4001" s="98" t="s">
        <v>240</v>
      </c>
      <c r="B4001" s="98">
        <v>2006</v>
      </c>
      <c r="C4001" s="98">
        <v>2</v>
      </c>
    </row>
    <row r="4002" spans="1:3" x14ac:dyDescent="0.3">
      <c r="A4002" s="98" t="s">
        <v>240</v>
      </c>
      <c r="B4002" s="98">
        <v>2007</v>
      </c>
      <c r="C4002" s="98">
        <v>1.8867925000000001</v>
      </c>
    </row>
    <row r="4003" spans="1:3" x14ac:dyDescent="0.3">
      <c r="A4003" s="98" t="s">
        <v>240</v>
      </c>
      <c r="B4003" s="98">
        <v>2008</v>
      </c>
      <c r="C4003" s="98">
        <v>2.1335609</v>
      </c>
    </row>
    <row r="4004" spans="1:3" x14ac:dyDescent="0.3">
      <c r="A4004" s="98" t="s">
        <v>240</v>
      </c>
      <c r="B4004" s="98">
        <v>2009</v>
      </c>
      <c r="C4004" s="98">
        <v>1.9040366</v>
      </c>
    </row>
    <row r="4005" spans="1:3" x14ac:dyDescent="0.3">
      <c r="A4005" s="98" t="s">
        <v>240</v>
      </c>
      <c r="B4005" s="98">
        <v>2010</v>
      </c>
      <c r="C4005" s="98">
        <v>1.8089725000000001</v>
      </c>
    </row>
    <row r="4006" spans="1:3" x14ac:dyDescent="0.3">
      <c r="A4006" s="98" t="s">
        <v>240</v>
      </c>
      <c r="B4006" s="98">
        <v>2011</v>
      </c>
      <c r="C4006" s="98">
        <v>1.7256255</v>
      </c>
    </row>
    <row r="4007" spans="1:3" x14ac:dyDescent="0.3">
      <c r="A4007" s="98" t="s">
        <v>240</v>
      </c>
      <c r="B4007" s="98">
        <v>2012</v>
      </c>
      <c r="C4007" s="98">
        <v>1.7364126</v>
      </c>
    </row>
    <row r="4008" spans="1:3" x14ac:dyDescent="0.3">
      <c r="A4008" s="98" t="s">
        <v>240</v>
      </c>
      <c r="B4008" s="98">
        <v>2013</v>
      </c>
      <c r="C4008" s="98">
        <v>1.8241518000000001</v>
      </c>
    </row>
    <row r="4009" spans="1:3" x14ac:dyDescent="0.3">
      <c r="A4009" s="98" t="s">
        <v>240</v>
      </c>
      <c r="B4009" s="98">
        <v>2014</v>
      </c>
      <c r="C4009" s="98">
        <v>1.9535065</v>
      </c>
    </row>
    <row r="4010" spans="1:3" x14ac:dyDescent="0.3">
      <c r="A4010" s="98" t="s">
        <v>240</v>
      </c>
      <c r="B4010" s="98">
        <v>2015</v>
      </c>
      <c r="C4010" s="98">
        <v>2.2079928999999998</v>
      </c>
    </row>
    <row r="4011" spans="1:3" x14ac:dyDescent="0.3">
      <c r="A4011" s="98" t="s">
        <v>240</v>
      </c>
      <c r="B4011" s="98">
        <v>2016</v>
      </c>
      <c r="C4011" s="98">
        <v>2.2492128</v>
      </c>
    </row>
    <row r="4012" spans="1:3" x14ac:dyDescent="0.3">
      <c r="A4012" s="98" t="s">
        <v>240</v>
      </c>
      <c r="B4012" s="98">
        <v>2017</v>
      </c>
      <c r="C4012" s="98">
        <v>2.2045854999999999</v>
      </c>
    </row>
    <row r="4013" spans="1:3" x14ac:dyDescent="0.3">
      <c r="A4013" s="98" t="s">
        <v>240</v>
      </c>
      <c r="B4013" s="98">
        <v>2018</v>
      </c>
      <c r="C4013" s="98">
        <v>2.2742779</v>
      </c>
    </row>
    <row r="4014" spans="1:3" x14ac:dyDescent="0.3">
      <c r="A4014" s="98" t="s">
        <v>240</v>
      </c>
      <c r="B4014" s="98">
        <v>2019</v>
      </c>
      <c r="C4014" s="98">
        <v>2.2846698999999999</v>
      </c>
    </row>
    <row r="4015" spans="1:3" x14ac:dyDescent="0.3">
      <c r="A4015" s="98" t="s">
        <v>240</v>
      </c>
      <c r="B4015" s="98">
        <v>2020</v>
      </c>
      <c r="C4015" s="98">
        <v>2.2732439000000002</v>
      </c>
    </row>
    <row r="4016" spans="1:3" x14ac:dyDescent="0.3">
      <c r="A4016" s="98" t="s">
        <v>240</v>
      </c>
      <c r="B4016" s="98">
        <v>2021</v>
      </c>
      <c r="C4016" s="98">
        <v>2.2742779</v>
      </c>
    </row>
    <row r="4017" spans="1:3" x14ac:dyDescent="0.3">
      <c r="A4017" s="98" t="s">
        <v>240</v>
      </c>
      <c r="B4017" s="98">
        <v>2022</v>
      </c>
      <c r="C4017" s="98">
        <v>2.340824</v>
      </c>
    </row>
    <row r="4018" spans="1:3" x14ac:dyDescent="0.3">
      <c r="A4018" s="98" t="s">
        <v>241</v>
      </c>
      <c r="B4018" s="98">
        <v>2001</v>
      </c>
      <c r="C4018" s="98">
        <v>6.2901999999999996</v>
      </c>
    </row>
    <row r="4019" spans="1:3" x14ac:dyDescent="0.3">
      <c r="A4019" s="98" t="s">
        <v>241</v>
      </c>
      <c r="B4019" s="98">
        <v>2002</v>
      </c>
      <c r="C4019" s="98">
        <v>6.2999000000000001</v>
      </c>
    </row>
    <row r="4020" spans="1:3" x14ac:dyDescent="0.3">
      <c r="A4020" s="98" t="s">
        <v>241</v>
      </c>
      <c r="B4020" s="98">
        <v>2003</v>
      </c>
      <c r="C4020" s="98">
        <v>6.2999000000000001</v>
      </c>
    </row>
    <row r="4021" spans="1:3" x14ac:dyDescent="0.3">
      <c r="A4021" s="98" t="s">
        <v>241</v>
      </c>
      <c r="B4021" s="98">
        <v>2004</v>
      </c>
      <c r="C4021" s="98">
        <v>6.2999000000000001</v>
      </c>
    </row>
    <row r="4022" spans="1:3" x14ac:dyDescent="0.3">
      <c r="A4022" s="98" t="s">
        <v>241</v>
      </c>
      <c r="B4022" s="98">
        <v>2005</v>
      </c>
      <c r="C4022" s="98">
        <v>6.3102999999999998</v>
      </c>
    </row>
    <row r="4023" spans="1:3" x14ac:dyDescent="0.3">
      <c r="A4023" s="98" t="s">
        <v>241</v>
      </c>
      <c r="B4023" s="98">
        <v>2006</v>
      </c>
      <c r="C4023" s="98">
        <v>6.3118999999999996</v>
      </c>
    </row>
    <row r="4024" spans="1:3" x14ac:dyDescent="0.3">
      <c r="A4024" s="98" t="s">
        <v>241</v>
      </c>
      <c r="B4024" s="98">
        <v>2007</v>
      </c>
      <c r="C4024" s="98">
        <v>6.3411999999999997</v>
      </c>
    </row>
    <row r="4025" spans="1:3" x14ac:dyDescent="0.3">
      <c r="A4025" s="98" t="s">
        <v>241</v>
      </c>
      <c r="B4025" s="98">
        <v>2008</v>
      </c>
      <c r="C4025" s="98">
        <v>6.2992999999999997</v>
      </c>
    </row>
    <row r="4026" spans="1:3" x14ac:dyDescent="0.3">
      <c r="A4026" s="98" t="s">
        <v>241</v>
      </c>
      <c r="B4026" s="98">
        <v>2009</v>
      </c>
      <c r="C4026" s="98">
        <v>6.3734999999999999</v>
      </c>
    </row>
    <row r="4027" spans="1:3" x14ac:dyDescent="0.3">
      <c r="A4027" s="98" t="s">
        <v>241</v>
      </c>
      <c r="B4027" s="98">
        <v>2010</v>
      </c>
      <c r="C4027" s="98">
        <v>6.4234</v>
      </c>
    </row>
    <row r="4028" spans="1:3" x14ac:dyDescent="0.3">
      <c r="A4028" s="98" t="s">
        <v>241</v>
      </c>
      <c r="B4028" s="98">
        <v>2011</v>
      </c>
      <c r="C4028" s="98">
        <v>6.4156000000000004</v>
      </c>
    </row>
    <row r="4029" spans="1:3" x14ac:dyDescent="0.3">
      <c r="A4029" s="98" t="s">
        <v>241</v>
      </c>
      <c r="B4029" s="98">
        <v>2012</v>
      </c>
      <c r="C4029" s="98">
        <v>6.4322999999999997</v>
      </c>
    </row>
    <row r="4030" spans="1:3" x14ac:dyDescent="0.3">
      <c r="A4030" s="98" t="s">
        <v>241</v>
      </c>
      <c r="B4030" s="98">
        <v>2013</v>
      </c>
      <c r="C4030" s="98">
        <v>6.4664999999999999</v>
      </c>
    </row>
    <row r="4031" spans="1:3" x14ac:dyDescent="0.3">
      <c r="A4031" s="98" t="s">
        <v>241</v>
      </c>
      <c r="B4031" s="98">
        <v>2014</v>
      </c>
      <c r="C4031" s="98">
        <v>6.3926999999999996</v>
      </c>
    </row>
    <row r="4032" spans="1:3" x14ac:dyDescent="0.3">
      <c r="A4032" s="98" t="s">
        <v>241</v>
      </c>
      <c r="B4032" s="98">
        <v>2015</v>
      </c>
      <c r="C4032" s="98">
        <v>6.4493</v>
      </c>
    </row>
    <row r="4033" spans="1:3" x14ac:dyDescent="0.3">
      <c r="A4033" s="98" t="s">
        <v>241</v>
      </c>
      <c r="B4033" s="98">
        <v>2016</v>
      </c>
      <c r="C4033" s="98">
        <v>6.7538999999999998</v>
      </c>
    </row>
    <row r="4034" spans="1:3" x14ac:dyDescent="0.3">
      <c r="A4034" s="98" t="s">
        <v>241</v>
      </c>
      <c r="B4034" s="98">
        <v>2017</v>
      </c>
      <c r="C4034" s="98">
        <v>6.7636000000000003</v>
      </c>
    </row>
    <row r="4035" spans="1:3" x14ac:dyDescent="0.3">
      <c r="A4035" s="98" t="s">
        <v>241</v>
      </c>
      <c r="B4035" s="98">
        <v>2018</v>
      </c>
      <c r="C4035" s="98">
        <v>6.7792000000000003</v>
      </c>
    </row>
    <row r="4036" spans="1:3" x14ac:dyDescent="0.3">
      <c r="A4036" s="98" t="s">
        <v>241</v>
      </c>
      <c r="B4036" s="98">
        <v>2019</v>
      </c>
      <c r="C4036" s="98">
        <v>6.7706</v>
      </c>
    </row>
    <row r="4037" spans="1:3" x14ac:dyDescent="0.3">
      <c r="A4037" s="98" t="s">
        <v>241</v>
      </c>
      <c r="B4037" s="98">
        <v>2020</v>
      </c>
      <c r="C4037" s="98">
        <v>6.7327000000000004</v>
      </c>
    </row>
    <row r="4038" spans="1:3" x14ac:dyDescent="0.3">
      <c r="A4038" s="98" t="s">
        <v>241</v>
      </c>
      <c r="B4038" s="98">
        <v>2021</v>
      </c>
      <c r="C4038" s="98">
        <v>6.7716000000000003</v>
      </c>
    </row>
    <row r="4039" spans="1:3" x14ac:dyDescent="0.3">
      <c r="A4039" s="98" t="s">
        <v>241</v>
      </c>
      <c r="B4039" s="98">
        <v>2022</v>
      </c>
      <c r="C4039" s="98">
        <v>6.7327000000000004</v>
      </c>
    </row>
    <row r="4040" spans="1:3" x14ac:dyDescent="0.3">
      <c r="A4040" s="98" t="s">
        <v>242</v>
      </c>
      <c r="B4040" s="98">
        <v>2001</v>
      </c>
      <c r="C4040" s="98">
        <v>1.4682999999999999</v>
      </c>
    </row>
    <row r="4041" spans="1:3" x14ac:dyDescent="0.3">
      <c r="A4041" s="98" t="s">
        <v>242</v>
      </c>
      <c r="B4041" s="98">
        <v>2002</v>
      </c>
      <c r="C4041" s="98">
        <v>1.3341000000000001</v>
      </c>
    </row>
    <row r="4042" spans="1:3" x14ac:dyDescent="0.3">
      <c r="A4042" s="98" t="s">
        <v>242</v>
      </c>
      <c r="B4042" s="98">
        <v>2003</v>
      </c>
      <c r="C4042" s="98">
        <v>1.2082999999999999</v>
      </c>
    </row>
    <row r="4043" spans="1:3" x14ac:dyDescent="0.3">
      <c r="A4043" s="98" t="s">
        <v>242</v>
      </c>
      <c r="B4043" s="98">
        <v>2004</v>
      </c>
      <c r="C4043" s="98">
        <v>1.1994</v>
      </c>
    </row>
    <row r="4044" spans="1:3" x14ac:dyDescent="0.3">
      <c r="A4044" s="98" t="s">
        <v>242</v>
      </c>
      <c r="B4044" s="98">
        <v>2005</v>
      </c>
      <c r="C4044" s="98">
        <v>1.3633999999999999</v>
      </c>
    </row>
    <row r="4045" spans="1:3" x14ac:dyDescent="0.3">
      <c r="A4045" s="98" t="s">
        <v>242</v>
      </c>
      <c r="B4045" s="98">
        <v>2006</v>
      </c>
      <c r="C4045" s="98">
        <v>1.2970999999999999</v>
      </c>
    </row>
    <row r="4046" spans="1:3" x14ac:dyDescent="0.3">
      <c r="A4046" s="98" t="s">
        <v>242</v>
      </c>
      <c r="B4046" s="98">
        <v>2007</v>
      </c>
      <c r="C4046" s="98">
        <v>1.2206999999999999</v>
      </c>
    </row>
    <row r="4047" spans="1:3" x14ac:dyDescent="0.3">
      <c r="A4047" s="98" t="s">
        <v>242</v>
      </c>
      <c r="B4047" s="98">
        <v>2008</v>
      </c>
      <c r="C4047" s="98">
        <v>1.3099000000000001</v>
      </c>
    </row>
    <row r="4048" spans="1:3" x14ac:dyDescent="0.3">
      <c r="A4048" s="98" t="s">
        <v>242</v>
      </c>
      <c r="B4048" s="98">
        <v>2009</v>
      </c>
      <c r="C4048" s="98">
        <v>1.3172999999999999</v>
      </c>
    </row>
    <row r="4049" spans="1:3" x14ac:dyDescent="0.3">
      <c r="A4049" s="98" t="s">
        <v>242</v>
      </c>
      <c r="B4049" s="98">
        <v>2010</v>
      </c>
      <c r="C4049" s="98">
        <v>1.4379</v>
      </c>
    </row>
    <row r="4050" spans="1:3" x14ac:dyDescent="0.3">
      <c r="A4050" s="98" t="s">
        <v>242</v>
      </c>
      <c r="B4050" s="98">
        <v>2011</v>
      </c>
      <c r="C4050" s="98">
        <v>1.4993000000000001</v>
      </c>
    </row>
    <row r="4051" spans="1:3" x14ac:dyDescent="0.3">
      <c r="A4051" s="98" t="s">
        <v>242</v>
      </c>
      <c r="B4051" s="98">
        <v>2012</v>
      </c>
      <c r="C4051" s="98">
        <v>1.5506</v>
      </c>
    </row>
    <row r="4052" spans="1:3" x14ac:dyDescent="0.3">
      <c r="A4052" s="98" t="s">
        <v>242</v>
      </c>
      <c r="B4052" s="98">
        <v>2013</v>
      </c>
      <c r="C4052" s="98">
        <v>1.6467000000000001</v>
      </c>
    </row>
    <row r="4053" spans="1:3" x14ac:dyDescent="0.3">
      <c r="A4053" s="98" t="s">
        <v>242</v>
      </c>
      <c r="B4053" s="98">
        <v>2014</v>
      </c>
      <c r="C4053" s="98">
        <v>1.8612</v>
      </c>
    </row>
    <row r="4054" spans="1:3" x14ac:dyDescent="0.3">
      <c r="A4054" s="98" t="s">
        <v>242</v>
      </c>
      <c r="B4054" s="98">
        <v>2015</v>
      </c>
      <c r="C4054" s="98">
        <v>2.0320999999999998</v>
      </c>
    </row>
    <row r="4055" spans="1:3" x14ac:dyDescent="0.3">
      <c r="A4055" s="98" t="s">
        <v>242</v>
      </c>
      <c r="B4055" s="98">
        <v>2016</v>
      </c>
      <c r="C4055" s="98">
        <v>2.3389000000000002</v>
      </c>
    </row>
    <row r="4056" spans="1:3" x14ac:dyDescent="0.3">
      <c r="A4056" s="98" t="s">
        <v>242</v>
      </c>
      <c r="B4056" s="98">
        <v>2017</v>
      </c>
      <c r="C4056" s="98">
        <v>2.4839000000000002</v>
      </c>
    </row>
    <row r="4057" spans="1:3" x14ac:dyDescent="0.3">
      <c r="A4057" s="98" t="s">
        <v>242</v>
      </c>
      <c r="B4057" s="98">
        <v>2018</v>
      </c>
      <c r="C4057" s="98">
        <v>2.9944000000000002</v>
      </c>
    </row>
    <row r="4058" spans="1:3" x14ac:dyDescent="0.3">
      <c r="A4058" s="98" t="s">
        <v>242</v>
      </c>
      <c r="B4058" s="98">
        <v>2019</v>
      </c>
      <c r="C4058" s="98">
        <v>2.79847</v>
      </c>
    </row>
    <row r="4059" spans="1:3" x14ac:dyDescent="0.3">
      <c r="A4059" s="98" t="s">
        <v>242</v>
      </c>
      <c r="B4059" s="98">
        <v>2020</v>
      </c>
      <c r="C4059" s="98">
        <v>2.7046999999999999</v>
      </c>
    </row>
    <row r="4060" spans="1:3" x14ac:dyDescent="0.3">
      <c r="A4060" s="98" t="s">
        <v>242</v>
      </c>
      <c r="B4060" s="98">
        <v>2021</v>
      </c>
      <c r="C4060" s="98">
        <v>2.8864999999999998</v>
      </c>
    </row>
    <row r="4061" spans="1:3" x14ac:dyDescent="0.3">
      <c r="A4061" s="98" t="s">
        <v>242</v>
      </c>
      <c r="B4061" s="98">
        <v>2022</v>
      </c>
      <c r="C4061" s="98">
        <v>3.1101000000000001</v>
      </c>
    </row>
    <row r="4062" spans="1:3" x14ac:dyDescent="0.3">
      <c r="A4062" s="98" t="s">
        <v>243</v>
      </c>
      <c r="B4062" s="98">
        <v>2001</v>
      </c>
      <c r="C4062" s="98">
        <v>5200</v>
      </c>
    </row>
    <row r="4063" spans="1:3" x14ac:dyDescent="0.3">
      <c r="A4063" s="98" t="s">
        <v>243</v>
      </c>
      <c r="B4063" s="98">
        <v>2002</v>
      </c>
    </row>
    <row r="4064" spans="1:3" x14ac:dyDescent="0.3">
      <c r="A4064" s="98" t="s">
        <v>243</v>
      </c>
      <c r="B4064" s="98">
        <v>2003</v>
      </c>
    </row>
    <row r="4065" spans="1:2" x14ac:dyDescent="0.3">
      <c r="A4065" s="98" t="s">
        <v>243</v>
      </c>
      <c r="B4065" s="98">
        <v>2004</v>
      </c>
    </row>
    <row r="4066" spans="1:2" x14ac:dyDescent="0.3">
      <c r="A4066" s="98" t="s">
        <v>243</v>
      </c>
      <c r="B4066" s="98">
        <v>2005</v>
      </c>
    </row>
    <row r="4067" spans="1:2" x14ac:dyDescent="0.3">
      <c r="A4067" s="98" t="s">
        <v>243</v>
      </c>
      <c r="B4067" s="98">
        <v>2006</v>
      </c>
    </row>
    <row r="4068" spans="1:2" x14ac:dyDescent="0.3">
      <c r="A4068" s="98" t="s">
        <v>243</v>
      </c>
      <c r="B4068" s="98">
        <v>2007</v>
      </c>
    </row>
    <row r="4069" spans="1:2" x14ac:dyDescent="0.3">
      <c r="A4069" s="98" t="s">
        <v>243</v>
      </c>
      <c r="B4069" s="98">
        <v>2008</v>
      </c>
    </row>
    <row r="4070" spans="1:2" x14ac:dyDescent="0.3">
      <c r="A4070" s="98" t="s">
        <v>243</v>
      </c>
      <c r="B4070" s="98">
        <v>2009</v>
      </c>
    </row>
    <row r="4071" spans="1:2" x14ac:dyDescent="0.3">
      <c r="A4071" s="98" t="s">
        <v>243</v>
      </c>
      <c r="B4071" s="98">
        <v>2010</v>
      </c>
    </row>
    <row r="4072" spans="1:2" x14ac:dyDescent="0.3">
      <c r="A4072" s="98" t="s">
        <v>243</v>
      </c>
      <c r="B4072" s="98">
        <v>2011</v>
      </c>
    </row>
    <row r="4073" spans="1:2" x14ac:dyDescent="0.3">
      <c r="A4073" s="98" t="s">
        <v>243</v>
      </c>
      <c r="B4073" s="98">
        <v>2012</v>
      </c>
    </row>
    <row r="4074" spans="1:2" x14ac:dyDescent="0.3">
      <c r="A4074" s="98" t="s">
        <v>243</v>
      </c>
      <c r="B4074" s="98">
        <v>2013</v>
      </c>
    </row>
    <row r="4075" spans="1:2" x14ac:dyDescent="0.3">
      <c r="A4075" s="98" t="s">
        <v>243</v>
      </c>
      <c r="B4075" s="98">
        <v>2014</v>
      </c>
    </row>
    <row r="4076" spans="1:2" x14ac:dyDescent="0.3">
      <c r="A4076" s="98" t="s">
        <v>243</v>
      </c>
      <c r="B4076" s="98">
        <v>2015</v>
      </c>
    </row>
    <row r="4077" spans="1:2" x14ac:dyDescent="0.3">
      <c r="A4077" s="98" t="s">
        <v>243</v>
      </c>
      <c r="B4077" s="98">
        <v>2016</v>
      </c>
    </row>
    <row r="4078" spans="1:2" x14ac:dyDescent="0.3">
      <c r="A4078" s="98" t="s">
        <v>243</v>
      </c>
      <c r="B4078" s="98">
        <v>2017</v>
      </c>
    </row>
    <row r="4079" spans="1:2" x14ac:dyDescent="0.3">
      <c r="A4079" s="98" t="s">
        <v>243</v>
      </c>
      <c r="B4079" s="98">
        <v>2018</v>
      </c>
    </row>
    <row r="4080" spans="1:2" x14ac:dyDescent="0.3">
      <c r="A4080" s="98" t="s">
        <v>243</v>
      </c>
      <c r="B4080" s="98">
        <v>2019</v>
      </c>
    </row>
    <row r="4081" spans="1:3" x14ac:dyDescent="0.3">
      <c r="A4081" s="98" t="s">
        <v>243</v>
      </c>
      <c r="B4081" s="98">
        <v>2020</v>
      </c>
    </row>
    <row r="4082" spans="1:3" x14ac:dyDescent="0.3">
      <c r="A4082" s="98" t="s">
        <v>243</v>
      </c>
      <c r="B4082" s="98">
        <v>2021</v>
      </c>
    </row>
    <row r="4083" spans="1:3" x14ac:dyDescent="0.3">
      <c r="A4083" s="98" t="s">
        <v>243</v>
      </c>
      <c r="B4083" s="98">
        <v>2022</v>
      </c>
    </row>
    <row r="4084" spans="1:3" x14ac:dyDescent="0.3">
      <c r="A4084" s="98" t="s">
        <v>244</v>
      </c>
      <c r="B4084" s="98">
        <v>2001</v>
      </c>
      <c r="C4084" s="98">
        <v>1.4501269999999999</v>
      </c>
    </row>
    <row r="4085" spans="1:3" x14ac:dyDescent="0.3">
      <c r="A4085" s="98" t="s">
        <v>244</v>
      </c>
      <c r="B4085" s="98">
        <v>2002</v>
      </c>
      <c r="C4085" s="98">
        <v>1.643699</v>
      </c>
    </row>
    <row r="4086" spans="1:3" x14ac:dyDescent="0.3">
      <c r="A4086" s="98" t="s">
        <v>244</v>
      </c>
      <c r="B4086" s="98">
        <v>2003</v>
      </c>
      <c r="C4086" s="98">
        <v>1.396638</v>
      </c>
    </row>
    <row r="4087" spans="1:3" x14ac:dyDescent="0.3">
      <c r="A4087" s="98" t="s">
        <v>244</v>
      </c>
      <c r="B4087" s="98">
        <v>2004</v>
      </c>
      <c r="C4087" s="98">
        <v>1.3394999999999999</v>
      </c>
    </row>
    <row r="4088" spans="1:3" x14ac:dyDescent="0.3">
      <c r="A4088" s="98" t="s">
        <v>244</v>
      </c>
      <c r="B4088" s="98">
        <v>2005</v>
      </c>
      <c r="C4088" s="98">
        <v>1.3450500000000001</v>
      </c>
    </row>
    <row r="4089" spans="1:3" x14ac:dyDescent="0.3">
      <c r="A4089" s="98" t="s">
        <v>244</v>
      </c>
      <c r="B4089" s="98">
        <v>2006</v>
      </c>
      <c r="C4089" s="98">
        <v>1.409</v>
      </c>
    </row>
    <row r="4090" spans="1:3" x14ac:dyDescent="0.3">
      <c r="A4090" s="98" t="s">
        <v>244</v>
      </c>
      <c r="B4090" s="98">
        <v>2007</v>
      </c>
      <c r="C4090" s="98">
        <v>1.1708000000000001</v>
      </c>
    </row>
    <row r="4091" spans="1:3" x14ac:dyDescent="0.3">
      <c r="A4091" s="98" t="s">
        <v>244</v>
      </c>
      <c r="B4091" s="98">
        <v>2008</v>
      </c>
      <c r="C4091" s="98">
        <v>1.52545</v>
      </c>
    </row>
    <row r="4092" spans="1:3" x14ac:dyDescent="0.3">
      <c r="A4092" s="98" t="s">
        <v>244</v>
      </c>
      <c r="B4092" s="98">
        <v>2009</v>
      </c>
      <c r="C4092" s="98">
        <v>1.4908999999999999</v>
      </c>
    </row>
    <row r="4093" spans="1:3" x14ac:dyDescent="0.3">
      <c r="A4093" s="98" t="s">
        <v>244</v>
      </c>
      <c r="B4093" s="98">
        <v>2010</v>
      </c>
      <c r="C4093" s="98">
        <v>1.5412999999999999</v>
      </c>
    </row>
    <row r="4094" spans="1:3" x14ac:dyDescent="0.3">
      <c r="A4094" s="98" t="s">
        <v>244</v>
      </c>
      <c r="B4094" s="98">
        <v>2011</v>
      </c>
      <c r="C4094" s="98">
        <v>1.8934500000000001</v>
      </c>
    </row>
    <row r="4095" spans="1:3" x14ac:dyDescent="0.3">
      <c r="A4095" s="98" t="s">
        <v>244</v>
      </c>
      <c r="B4095" s="98">
        <v>2012</v>
      </c>
      <c r="C4095" s="98">
        <v>1.7819</v>
      </c>
    </row>
    <row r="4096" spans="1:3" x14ac:dyDescent="0.3">
      <c r="A4096" s="98" t="s">
        <v>244</v>
      </c>
      <c r="B4096" s="98">
        <v>2013</v>
      </c>
      <c r="C4096" s="98">
        <v>2.1362000000000001</v>
      </c>
    </row>
    <row r="4097" spans="1:3" x14ac:dyDescent="0.3">
      <c r="A4097" s="98" t="s">
        <v>244</v>
      </c>
      <c r="B4097" s="98">
        <v>2014</v>
      </c>
      <c r="C4097" s="98">
        <v>2.3209499999999998</v>
      </c>
    </row>
    <row r="4098" spans="1:3" x14ac:dyDescent="0.3">
      <c r="A4098" s="98" t="s">
        <v>244</v>
      </c>
      <c r="B4098" s="98">
        <v>2015</v>
      </c>
      <c r="C4098" s="98">
        <v>2.9102000000000001</v>
      </c>
    </row>
    <row r="4099" spans="1:3" x14ac:dyDescent="0.3">
      <c r="A4099" s="98" t="s">
        <v>244</v>
      </c>
      <c r="B4099" s="98">
        <v>2016</v>
      </c>
      <c r="C4099" s="98">
        <v>3.5223499999999999</v>
      </c>
    </row>
    <row r="4100" spans="1:3" x14ac:dyDescent="0.3">
      <c r="A4100" s="98" t="s">
        <v>244</v>
      </c>
      <c r="B4100" s="98">
        <v>2017</v>
      </c>
      <c r="C4100" s="98">
        <v>3.7753000000000001</v>
      </c>
    </row>
    <row r="4101" spans="1:3" x14ac:dyDescent="0.3">
      <c r="A4101" s="98" t="s">
        <v>244</v>
      </c>
      <c r="B4101" s="98">
        <v>2018</v>
      </c>
      <c r="C4101" s="98">
        <v>5.2656499999999999</v>
      </c>
    </row>
    <row r="4102" spans="1:3" x14ac:dyDescent="0.3">
      <c r="A4102" s="98" t="s">
        <v>244</v>
      </c>
      <c r="B4102" s="98">
        <v>2019</v>
      </c>
      <c r="C4102" s="98">
        <v>5.9455499999999999</v>
      </c>
    </row>
    <row r="4103" spans="1:3" x14ac:dyDescent="0.3">
      <c r="A4103" s="98" t="s">
        <v>244</v>
      </c>
      <c r="B4103" s="98">
        <v>2020</v>
      </c>
      <c r="C4103" s="98">
        <v>7.3471000000000002</v>
      </c>
    </row>
    <row r="4104" spans="1:3" x14ac:dyDescent="0.3">
      <c r="A4104" s="98" t="s">
        <v>244</v>
      </c>
      <c r="B4104" s="98">
        <v>2021</v>
      </c>
      <c r="C4104" s="98">
        <v>12.9892</v>
      </c>
    </row>
    <row r="4105" spans="1:3" x14ac:dyDescent="0.3">
      <c r="A4105" s="98" t="s">
        <v>244</v>
      </c>
      <c r="B4105" s="98">
        <v>2022</v>
      </c>
    </row>
    <row r="4106" spans="1:3" x14ac:dyDescent="0.3">
      <c r="A4106" s="98" t="s">
        <v>245</v>
      </c>
      <c r="B4106" s="98">
        <v>2001</v>
      </c>
      <c r="C4106" s="98">
        <v>1727.4</v>
      </c>
    </row>
    <row r="4107" spans="1:3" x14ac:dyDescent="0.3">
      <c r="A4107" s="98" t="s">
        <v>245</v>
      </c>
      <c r="B4107" s="98">
        <v>2002</v>
      </c>
      <c r="C4107" s="98">
        <v>1852.57</v>
      </c>
    </row>
    <row r="4108" spans="1:3" x14ac:dyDescent="0.3">
      <c r="A4108" s="98" t="s">
        <v>245</v>
      </c>
      <c r="B4108" s="98">
        <v>2003</v>
      </c>
      <c r="C4108" s="98">
        <v>1935.32</v>
      </c>
    </row>
    <row r="4109" spans="1:3" x14ac:dyDescent="0.3">
      <c r="A4109" s="98" t="s">
        <v>245</v>
      </c>
      <c r="B4109" s="98">
        <v>2004</v>
      </c>
      <c r="C4109" s="98">
        <v>1738.59</v>
      </c>
    </row>
    <row r="4110" spans="1:3" x14ac:dyDescent="0.3">
      <c r="A4110" s="98" t="s">
        <v>245</v>
      </c>
      <c r="B4110" s="98">
        <v>2005</v>
      </c>
      <c r="C4110" s="98">
        <v>1816.855</v>
      </c>
    </row>
    <row r="4111" spans="1:3" x14ac:dyDescent="0.3">
      <c r="A4111" s="98" t="s">
        <v>245</v>
      </c>
      <c r="B4111" s="98">
        <v>2006</v>
      </c>
      <c r="C4111" s="98">
        <v>1741.44</v>
      </c>
    </row>
    <row r="4112" spans="1:3" x14ac:dyDescent="0.3">
      <c r="A4112" s="98" t="s">
        <v>245</v>
      </c>
      <c r="B4112" s="98">
        <v>2007</v>
      </c>
      <c r="C4112" s="98">
        <v>1697.34</v>
      </c>
    </row>
    <row r="4113" spans="1:3" x14ac:dyDescent="0.3">
      <c r="A4113" s="98" t="s">
        <v>245</v>
      </c>
      <c r="B4113" s="98">
        <v>2008</v>
      </c>
      <c r="C4113" s="98">
        <v>1949.18</v>
      </c>
    </row>
    <row r="4114" spans="1:3" x14ac:dyDescent="0.3">
      <c r="A4114" s="98" t="s">
        <v>245</v>
      </c>
      <c r="B4114" s="98">
        <v>2009</v>
      </c>
      <c r="C4114" s="98">
        <v>1899.71</v>
      </c>
    </row>
    <row r="4115" spans="1:3" x14ac:dyDescent="0.3">
      <c r="A4115" s="98" t="s">
        <v>245</v>
      </c>
      <c r="B4115" s="98">
        <v>2010</v>
      </c>
      <c r="C4115" s="98">
        <v>2308.3000000000002</v>
      </c>
    </row>
    <row r="4116" spans="1:3" x14ac:dyDescent="0.3">
      <c r="A4116" s="98" t="s">
        <v>245</v>
      </c>
      <c r="B4116" s="98">
        <v>2011</v>
      </c>
      <c r="C4116" s="98">
        <v>2490.9899999999998</v>
      </c>
    </row>
    <row r="4117" spans="1:3" x14ac:dyDescent="0.3">
      <c r="A4117" s="98" t="s">
        <v>245</v>
      </c>
      <c r="B4117" s="98">
        <v>2012</v>
      </c>
      <c r="C4117" s="98">
        <v>2685.9450000000002</v>
      </c>
    </row>
    <row r="4118" spans="1:3" x14ac:dyDescent="0.3">
      <c r="A4118" s="98" t="s">
        <v>245</v>
      </c>
      <c r="B4118" s="98">
        <v>2013</v>
      </c>
      <c r="C4118" s="98">
        <v>2527.9555</v>
      </c>
    </row>
    <row r="4119" spans="1:3" x14ac:dyDescent="0.3">
      <c r="A4119" s="98" t="s">
        <v>245</v>
      </c>
      <c r="B4119" s="98">
        <v>2014</v>
      </c>
      <c r="C4119" s="98">
        <v>2773.0650000000001</v>
      </c>
    </row>
    <row r="4120" spans="1:3" x14ac:dyDescent="0.3">
      <c r="A4120" s="98" t="s">
        <v>245</v>
      </c>
      <c r="B4120" s="98">
        <v>2015</v>
      </c>
      <c r="C4120" s="98">
        <v>3377.01</v>
      </c>
    </row>
    <row r="4121" spans="1:3" x14ac:dyDescent="0.3">
      <c r="A4121" s="98" t="s">
        <v>245</v>
      </c>
      <c r="B4121" s="98">
        <v>2016</v>
      </c>
      <c r="C4121" s="98">
        <v>3610.5</v>
      </c>
    </row>
    <row r="4122" spans="1:3" x14ac:dyDescent="0.3">
      <c r="A4122" s="98" t="s">
        <v>245</v>
      </c>
      <c r="B4122" s="98">
        <v>2017</v>
      </c>
      <c r="C4122" s="98">
        <v>3635.08</v>
      </c>
    </row>
    <row r="4123" spans="1:3" x14ac:dyDescent="0.3">
      <c r="A4123" s="98" t="s">
        <v>245</v>
      </c>
      <c r="B4123" s="98">
        <v>2018</v>
      </c>
      <c r="C4123" s="98">
        <v>3713.35</v>
      </c>
    </row>
    <row r="4124" spans="1:3" x14ac:dyDescent="0.3">
      <c r="A4124" s="98" t="s">
        <v>245</v>
      </c>
      <c r="B4124" s="98">
        <v>2019</v>
      </c>
      <c r="C4124" s="98">
        <v>3665.2082999999998</v>
      </c>
    </row>
    <row r="4125" spans="1:3" x14ac:dyDescent="0.3">
      <c r="A4125" s="98" t="s">
        <v>245</v>
      </c>
      <c r="B4125" s="98">
        <v>2020</v>
      </c>
      <c r="C4125" s="98">
        <v>3650.07</v>
      </c>
    </row>
    <row r="4126" spans="1:3" x14ac:dyDescent="0.3">
      <c r="A4126" s="98" t="s">
        <v>245</v>
      </c>
      <c r="B4126" s="98">
        <v>2021</v>
      </c>
      <c r="C4126" s="98">
        <v>3544.41</v>
      </c>
    </row>
    <row r="4127" spans="1:3" x14ac:dyDescent="0.3">
      <c r="A4127" s="98" t="s">
        <v>245</v>
      </c>
      <c r="B4127" s="98">
        <v>2022</v>
      </c>
      <c r="C4127" s="98">
        <v>3715.69</v>
      </c>
    </row>
    <row r="4128" spans="1:3" x14ac:dyDescent="0.3">
      <c r="A4128" s="98" t="s">
        <v>246</v>
      </c>
      <c r="B4128" s="98">
        <v>2001</v>
      </c>
      <c r="C4128" s="98">
        <v>5.2984999999999998</v>
      </c>
    </row>
    <row r="4129" spans="1:3" x14ac:dyDescent="0.3">
      <c r="A4129" s="98" t="s">
        <v>246</v>
      </c>
      <c r="B4129" s="98">
        <v>2002</v>
      </c>
      <c r="C4129" s="98">
        <v>5.3323999999999998</v>
      </c>
    </row>
    <row r="4130" spans="1:3" x14ac:dyDescent="0.3">
      <c r="A4130" s="98" t="s">
        <v>246</v>
      </c>
      <c r="B4130" s="98">
        <v>2003</v>
      </c>
      <c r="C4130" s="98">
        <v>5.3315000000000001</v>
      </c>
    </row>
    <row r="4131" spans="1:3" x14ac:dyDescent="0.3">
      <c r="A4131" s="98" t="s">
        <v>246</v>
      </c>
      <c r="B4131" s="98">
        <v>2004</v>
      </c>
      <c r="C4131" s="98">
        <v>5.3053999999999997</v>
      </c>
    </row>
    <row r="4132" spans="1:3" x14ac:dyDescent="0.3">
      <c r="A4132" s="98" t="s">
        <v>246</v>
      </c>
      <c r="B4132" s="98">
        <v>2005</v>
      </c>
      <c r="C4132" s="98">
        <v>5.05</v>
      </c>
    </row>
    <row r="4133" spans="1:3" x14ac:dyDescent="0.3">
      <c r="A4133" s="98" t="s">
        <v>246</v>
      </c>
      <c r="B4133" s="98">
        <v>2006</v>
      </c>
      <c r="C4133" s="98">
        <v>5.05</v>
      </c>
    </row>
    <row r="4134" spans="1:3" x14ac:dyDescent="0.3">
      <c r="A4134" s="98" t="s">
        <v>246</v>
      </c>
      <c r="B4134" s="98">
        <v>2007</v>
      </c>
      <c r="C4134" s="98">
        <v>5.05</v>
      </c>
    </row>
    <row r="4135" spans="1:3" x14ac:dyDescent="0.3">
      <c r="A4135" s="98" t="s">
        <v>246</v>
      </c>
      <c r="B4135" s="98">
        <v>2008</v>
      </c>
      <c r="C4135" s="98">
        <v>7.7</v>
      </c>
    </row>
    <row r="4136" spans="1:3" x14ac:dyDescent="0.3">
      <c r="A4136" s="98" t="s">
        <v>246</v>
      </c>
      <c r="B4136" s="98">
        <v>2009</v>
      </c>
      <c r="C4136" s="98">
        <v>7.9850000000000003</v>
      </c>
    </row>
    <row r="4137" spans="1:3" x14ac:dyDescent="0.3">
      <c r="A4137" s="98" t="s">
        <v>246</v>
      </c>
      <c r="B4137" s="98">
        <v>2010</v>
      </c>
      <c r="C4137" s="98">
        <v>7.9617000000000004</v>
      </c>
    </row>
    <row r="4138" spans="1:3" x14ac:dyDescent="0.3">
      <c r="A4138" s="98" t="s">
        <v>246</v>
      </c>
      <c r="B4138" s="98">
        <v>2011</v>
      </c>
      <c r="C4138" s="98">
        <v>7.9897999999999998</v>
      </c>
    </row>
    <row r="4139" spans="1:3" x14ac:dyDescent="0.3">
      <c r="A4139" s="98" t="s">
        <v>246</v>
      </c>
      <c r="B4139" s="98">
        <v>2012</v>
      </c>
      <c r="C4139" s="98">
        <v>7.9930000000000003</v>
      </c>
    </row>
    <row r="4140" spans="1:3" x14ac:dyDescent="0.3">
      <c r="A4140" s="98" t="s">
        <v>246</v>
      </c>
      <c r="B4140" s="98">
        <v>2013</v>
      </c>
      <c r="C4140" s="98">
        <v>7.9930000000000003</v>
      </c>
    </row>
    <row r="4141" spans="1:3" x14ac:dyDescent="0.3">
      <c r="A4141" s="98" t="s">
        <v>246</v>
      </c>
      <c r="B4141" s="98">
        <v>2014</v>
      </c>
      <c r="C4141" s="98">
        <v>15.768556</v>
      </c>
    </row>
    <row r="4142" spans="1:3" x14ac:dyDescent="0.3">
      <c r="A4142" s="98" t="s">
        <v>246</v>
      </c>
      <c r="B4142" s="98">
        <v>2015</v>
      </c>
      <c r="C4142" s="98">
        <v>24.000667</v>
      </c>
    </row>
    <row r="4143" spans="1:3" x14ac:dyDescent="0.3">
      <c r="A4143" s="98" t="s">
        <v>246</v>
      </c>
      <c r="B4143" s="98">
        <v>2016</v>
      </c>
      <c r="C4143" s="98">
        <v>27.190857999999999</v>
      </c>
    </row>
    <row r="4144" spans="1:3" x14ac:dyDescent="0.3">
      <c r="A4144" s="98" t="s">
        <v>246</v>
      </c>
      <c r="B4144" s="98">
        <v>2017</v>
      </c>
      <c r="C4144" s="98">
        <v>28.067222999999998</v>
      </c>
    </row>
    <row r="4145" spans="1:3" x14ac:dyDescent="0.3">
      <c r="A4145" s="98" t="s">
        <v>246</v>
      </c>
      <c r="B4145" s="98">
        <v>2018</v>
      </c>
      <c r="C4145" s="98">
        <v>27.688264</v>
      </c>
    </row>
    <row r="4146" spans="1:3" x14ac:dyDescent="0.3">
      <c r="A4146" s="98" t="s">
        <v>246</v>
      </c>
      <c r="B4146" s="98">
        <v>2019</v>
      </c>
      <c r="C4146" s="98">
        <v>23.686199999999999</v>
      </c>
    </row>
    <row r="4147" spans="1:3" x14ac:dyDescent="0.3">
      <c r="A4147" s="98" t="s">
        <v>246</v>
      </c>
      <c r="B4147" s="98">
        <v>2020</v>
      </c>
      <c r="C4147" s="98">
        <v>28.2746</v>
      </c>
    </row>
    <row r="4148" spans="1:3" x14ac:dyDescent="0.3">
      <c r="A4148" s="98" t="s">
        <v>246</v>
      </c>
      <c r="B4148" s="98">
        <v>2021</v>
      </c>
      <c r="C4148" s="98">
        <v>27.278199999999998</v>
      </c>
    </row>
    <row r="4149" spans="1:3" x14ac:dyDescent="0.3">
      <c r="A4149" s="98" t="s">
        <v>246</v>
      </c>
      <c r="B4149" s="98">
        <v>2022</v>
      </c>
      <c r="C4149" s="98">
        <v>36.568600000000004</v>
      </c>
    </row>
    <row r="4150" spans="1:3" x14ac:dyDescent="0.3">
      <c r="A4150" s="98" t="s">
        <v>247</v>
      </c>
      <c r="B4150" s="98">
        <v>2001</v>
      </c>
      <c r="C4150" s="98">
        <v>3.6724999999999999</v>
      </c>
    </row>
    <row r="4151" spans="1:3" x14ac:dyDescent="0.3">
      <c r="A4151" s="98" t="s">
        <v>247</v>
      </c>
      <c r="B4151" s="98">
        <v>2002</v>
      </c>
      <c r="C4151" s="98">
        <v>3.6724999999999999</v>
      </c>
    </row>
    <row r="4152" spans="1:3" x14ac:dyDescent="0.3">
      <c r="A4152" s="98" t="s">
        <v>247</v>
      </c>
      <c r="B4152" s="98">
        <v>2003</v>
      </c>
      <c r="C4152" s="98">
        <v>3.6724999999999999</v>
      </c>
    </row>
    <row r="4153" spans="1:3" x14ac:dyDescent="0.3">
      <c r="A4153" s="98" t="s">
        <v>247</v>
      </c>
      <c r="B4153" s="98">
        <v>2004</v>
      </c>
      <c r="C4153" s="98">
        <v>3.6724999999999999</v>
      </c>
    </row>
    <row r="4154" spans="1:3" x14ac:dyDescent="0.3">
      <c r="A4154" s="98" t="s">
        <v>247</v>
      </c>
      <c r="B4154" s="98">
        <v>2005</v>
      </c>
      <c r="C4154" s="98">
        <v>3.6724999999999999</v>
      </c>
    </row>
    <row r="4155" spans="1:3" x14ac:dyDescent="0.3">
      <c r="A4155" s="98" t="s">
        <v>247</v>
      </c>
      <c r="B4155" s="98">
        <v>2006</v>
      </c>
      <c r="C4155" s="98">
        <v>3.6724999999999999</v>
      </c>
    </row>
    <row r="4156" spans="1:3" x14ac:dyDescent="0.3">
      <c r="A4156" s="98" t="s">
        <v>247</v>
      </c>
      <c r="B4156" s="98">
        <v>2007</v>
      </c>
      <c r="C4156" s="98">
        <v>3.6724999999999999</v>
      </c>
    </row>
    <row r="4157" spans="1:3" x14ac:dyDescent="0.3">
      <c r="A4157" s="98" t="s">
        <v>247</v>
      </c>
      <c r="B4157" s="98">
        <v>2008</v>
      </c>
      <c r="C4157" s="98">
        <v>3.6724999999999999</v>
      </c>
    </row>
    <row r="4158" spans="1:3" x14ac:dyDescent="0.3">
      <c r="A4158" s="98" t="s">
        <v>247</v>
      </c>
      <c r="B4158" s="98">
        <v>2009</v>
      </c>
      <c r="C4158" s="98">
        <v>3.6724999999999999</v>
      </c>
    </row>
    <row r="4159" spans="1:3" x14ac:dyDescent="0.3">
      <c r="A4159" s="98" t="s">
        <v>247</v>
      </c>
      <c r="B4159" s="98">
        <v>2010</v>
      </c>
      <c r="C4159" s="98">
        <v>3.6724999999999999</v>
      </c>
    </row>
    <row r="4160" spans="1:3" x14ac:dyDescent="0.3">
      <c r="A4160" s="98" t="s">
        <v>247</v>
      </c>
      <c r="B4160" s="98">
        <v>2011</v>
      </c>
      <c r="C4160" s="98">
        <v>3.6724999999999999</v>
      </c>
    </row>
    <row r="4161" spans="1:3" x14ac:dyDescent="0.3">
      <c r="A4161" s="98" t="s">
        <v>247</v>
      </c>
      <c r="B4161" s="98">
        <v>2012</v>
      </c>
      <c r="C4161" s="98">
        <v>3.6724999999999999</v>
      </c>
    </row>
    <row r="4162" spans="1:3" x14ac:dyDescent="0.3">
      <c r="A4162" s="98" t="s">
        <v>247</v>
      </c>
      <c r="B4162" s="98">
        <v>2013</v>
      </c>
      <c r="C4162" s="98">
        <v>3.6724999999999999</v>
      </c>
    </row>
    <row r="4163" spans="1:3" x14ac:dyDescent="0.3">
      <c r="A4163" s="98" t="s">
        <v>247</v>
      </c>
      <c r="B4163" s="98">
        <v>2014</v>
      </c>
      <c r="C4163" s="98">
        <v>3.6724999999999999</v>
      </c>
    </row>
    <row r="4164" spans="1:3" x14ac:dyDescent="0.3">
      <c r="A4164" s="98" t="s">
        <v>247</v>
      </c>
      <c r="B4164" s="98">
        <v>2015</v>
      </c>
      <c r="C4164" s="98">
        <v>3.6724999999999999</v>
      </c>
    </row>
    <row r="4165" spans="1:3" x14ac:dyDescent="0.3">
      <c r="A4165" s="98" t="s">
        <v>247</v>
      </c>
      <c r="B4165" s="98">
        <v>2016</v>
      </c>
      <c r="C4165" s="98">
        <v>3.6724999999999999</v>
      </c>
    </row>
    <row r="4166" spans="1:3" x14ac:dyDescent="0.3">
      <c r="A4166" s="98" t="s">
        <v>247</v>
      </c>
      <c r="B4166" s="98">
        <v>2017</v>
      </c>
      <c r="C4166" s="98">
        <v>3.6724999999999999</v>
      </c>
    </row>
    <row r="4167" spans="1:3" x14ac:dyDescent="0.3">
      <c r="A4167" s="98" t="s">
        <v>247</v>
      </c>
      <c r="B4167" s="98">
        <v>2018</v>
      </c>
      <c r="C4167" s="98">
        <v>3.6724999999999999</v>
      </c>
    </row>
    <row r="4168" spans="1:3" x14ac:dyDescent="0.3">
      <c r="A4168" s="98" t="s">
        <v>247</v>
      </c>
      <c r="B4168" s="98">
        <v>2019</v>
      </c>
      <c r="C4168" s="98">
        <v>3.6724999999999999</v>
      </c>
    </row>
    <row r="4169" spans="1:3" x14ac:dyDescent="0.3">
      <c r="A4169" s="98" t="s">
        <v>247</v>
      </c>
      <c r="B4169" s="98">
        <v>2020</v>
      </c>
      <c r="C4169" s="98">
        <v>3.6724999999999999</v>
      </c>
    </row>
    <row r="4170" spans="1:3" x14ac:dyDescent="0.3">
      <c r="A4170" s="98" t="s">
        <v>247</v>
      </c>
      <c r="B4170" s="98">
        <v>2021</v>
      </c>
      <c r="C4170" s="98">
        <v>3.6724999999999999</v>
      </c>
    </row>
    <row r="4171" spans="1:3" x14ac:dyDescent="0.3">
      <c r="A4171" s="98" t="s">
        <v>247</v>
      </c>
      <c r="B4171" s="98">
        <v>2022</v>
      </c>
      <c r="C4171" s="98">
        <v>3.6724999999999999</v>
      </c>
    </row>
    <row r="4172" spans="1:3" x14ac:dyDescent="0.3">
      <c r="A4172" s="98" t="s">
        <v>248</v>
      </c>
      <c r="B4172" s="98">
        <v>2001</v>
      </c>
      <c r="C4172" s="98">
        <v>0.68946498000000001</v>
      </c>
    </row>
    <row r="4173" spans="1:3" x14ac:dyDescent="0.3">
      <c r="A4173" s="98" t="s">
        <v>248</v>
      </c>
      <c r="B4173" s="98">
        <v>2002</v>
      </c>
      <c r="C4173" s="98">
        <v>0.62042436999999995</v>
      </c>
    </row>
    <row r="4174" spans="1:3" x14ac:dyDescent="0.3">
      <c r="A4174" s="98" t="s">
        <v>248</v>
      </c>
      <c r="B4174" s="98">
        <v>2003</v>
      </c>
      <c r="C4174" s="98">
        <v>0.56031825999999996</v>
      </c>
    </row>
    <row r="4175" spans="1:3" x14ac:dyDescent="0.3">
      <c r="A4175" s="98" t="s">
        <v>248</v>
      </c>
      <c r="B4175" s="98">
        <v>2004</v>
      </c>
      <c r="C4175" s="98">
        <v>0.51775914000000001</v>
      </c>
    </row>
    <row r="4176" spans="1:3" x14ac:dyDescent="0.3">
      <c r="A4176" s="98" t="s">
        <v>248</v>
      </c>
      <c r="B4176" s="98">
        <v>2005</v>
      </c>
      <c r="C4176" s="98">
        <v>0.58075381999999998</v>
      </c>
    </row>
    <row r="4177" spans="1:3" x14ac:dyDescent="0.3">
      <c r="A4177" s="98" t="s">
        <v>248</v>
      </c>
      <c r="B4177" s="98">
        <v>2006</v>
      </c>
      <c r="C4177" s="98">
        <v>0.50942434999999997</v>
      </c>
    </row>
    <row r="4178" spans="1:3" x14ac:dyDescent="0.3">
      <c r="A4178" s="98" t="s">
        <v>248</v>
      </c>
      <c r="B4178" s="98">
        <v>2007</v>
      </c>
      <c r="C4178" s="98">
        <v>0.49915144</v>
      </c>
    </row>
    <row r="4179" spans="1:3" x14ac:dyDescent="0.3">
      <c r="A4179" s="98" t="s">
        <v>248</v>
      </c>
      <c r="B4179" s="98">
        <v>2008</v>
      </c>
      <c r="C4179" s="98">
        <v>0.68596515000000002</v>
      </c>
    </row>
    <row r="4180" spans="1:3" x14ac:dyDescent="0.3">
      <c r="A4180" s="98" t="s">
        <v>248</v>
      </c>
      <c r="B4180" s="98">
        <v>2009</v>
      </c>
      <c r="C4180" s="98">
        <v>0.61747452999999997</v>
      </c>
    </row>
    <row r="4181" spans="1:3" x14ac:dyDescent="0.3">
      <c r="A4181" s="98" t="s">
        <v>248</v>
      </c>
      <c r="B4181" s="98">
        <v>2010</v>
      </c>
      <c r="C4181" s="98">
        <v>0.63877355000000002</v>
      </c>
    </row>
    <row r="4182" spans="1:3" x14ac:dyDescent="0.3">
      <c r="A4182" s="98" t="s">
        <v>248</v>
      </c>
      <c r="B4182" s="98">
        <v>2011</v>
      </c>
      <c r="C4182" s="98">
        <v>0.64678869000000005</v>
      </c>
    </row>
    <row r="4183" spans="1:3" x14ac:dyDescent="0.3">
      <c r="A4183" s="98" t="s">
        <v>248</v>
      </c>
      <c r="B4183" s="98">
        <v>2012</v>
      </c>
      <c r="C4183" s="98">
        <v>0.63371356000000001</v>
      </c>
    </row>
    <row r="4184" spans="1:3" x14ac:dyDescent="0.3">
      <c r="A4184" s="98" t="s">
        <v>248</v>
      </c>
      <c r="B4184" s="98">
        <v>2013</v>
      </c>
      <c r="C4184" s="98">
        <v>0.60723828000000002</v>
      </c>
    </row>
    <row r="4185" spans="1:3" x14ac:dyDescent="0.3">
      <c r="A4185" s="98" t="s">
        <v>248</v>
      </c>
      <c r="B4185" s="98">
        <v>2014</v>
      </c>
      <c r="C4185" s="98">
        <v>0.64069708000000003</v>
      </c>
    </row>
    <row r="4186" spans="1:3" x14ac:dyDescent="0.3">
      <c r="A4186" s="98" t="s">
        <v>248</v>
      </c>
      <c r="B4186" s="98">
        <v>2015</v>
      </c>
      <c r="C4186" s="98">
        <v>0.67480936999999996</v>
      </c>
    </row>
    <row r="4187" spans="1:3" x14ac:dyDescent="0.3">
      <c r="A4187" s="98" t="s">
        <v>248</v>
      </c>
      <c r="B4187" s="98">
        <v>2016</v>
      </c>
      <c r="C4187" s="98">
        <v>0.81287595999999995</v>
      </c>
    </row>
    <row r="4188" spans="1:3" x14ac:dyDescent="0.3">
      <c r="A4188" s="98" t="s">
        <v>248</v>
      </c>
      <c r="B4188" s="98">
        <v>2017</v>
      </c>
      <c r="C4188" s="98">
        <v>0.74011028000000001</v>
      </c>
    </row>
    <row r="4189" spans="1:3" x14ac:dyDescent="0.3">
      <c r="A4189" s="98" t="s">
        <v>248</v>
      </c>
      <c r="B4189" s="98">
        <v>2018</v>
      </c>
      <c r="C4189" s="98">
        <v>0.78768066999999997</v>
      </c>
    </row>
    <row r="4190" spans="1:3" x14ac:dyDescent="0.3">
      <c r="A4190" s="98" t="s">
        <v>248</v>
      </c>
      <c r="B4190" s="98">
        <v>2019</v>
      </c>
      <c r="C4190" s="98">
        <v>0.76210798999999996</v>
      </c>
    </row>
    <row r="4191" spans="1:3" x14ac:dyDescent="0.3">
      <c r="A4191" s="98" t="s">
        <v>248</v>
      </c>
      <c r="B4191" s="98">
        <v>2020</v>
      </c>
      <c r="C4191" s="98">
        <v>0.74515648000000001</v>
      </c>
    </row>
    <row r="4192" spans="1:3" x14ac:dyDescent="0.3">
      <c r="A4192" s="98" t="s">
        <v>248</v>
      </c>
      <c r="B4192" s="98">
        <v>2021</v>
      </c>
      <c r="C4192" s="98">
        <v>0.74437993000000002</v>
      </c>
    </row>
    <row r="4193" spans="1:3" x14ac:dyDescent="0.3">
      <c r="A4193" s="98" t="s">
        <v>248</v>
      </c>
      <c r="B4193" s="98">
        <v>2022</v>
      </c>
      <c r="C4193" s="98">
        <v>0.82863772000000002</v>
      </c>
    </row>
    <row r="4194" spans="1:3" x14ac:dyDescent="0.3">
      <c r="A4194" s="98" t="s">
        <v>249</v>
      </c>
      <c r="B4194" s="98">
        <v>2001</v>
      </c>
      <c r="C4194" s="98">
        <v>1</v>
      </c>
    </row>
    <row r="4195" spans="1:3" x14ac:dyDescent="0.3">
      <c r="A4195" s="98" t="s">
        <v>249</v>
      </c>
      <c r="B4195" s="98">
        <v>2002</v>
      </c>
      <c r="C4195" s="98">
        <v>1</v>
      </c>
    </row>
    <row r="4196" spans="1:3" x14ac:dyDescent="0.3">
      <c r="A4196" s="98" t="s">
        <v>249</v>
      </c>
      <c r="B4196" s="98">
        <v>2003</v>
      </c>
      <c r="C4196" s="98">
        <v>1</v>
      </c>
    </row>
    <row r="4197" spans="1:3" x14ac:dyDescent="0.3">
      <c r="A4197" s="98" t="s">
        <v>249</v>
      </c>
      <c r="B4197" s="98">
        <v>2004</v>
      </c>
      <c r="C4197" s="98">
        <v>1</v>
      </c>
    </row>
    <row r="4198" spans="1:3" x14ac:dyDescent="0.3">
      <c r="A4198" s="98" t="s">
        <v>249</v>
      </c>
      <c r="B4198" s="98">
        <v>2005</v>
      </c>
      <c r="C4198" s="98">
        <v>1</v>
      </c>
    </row>
    <row r="4199" spans="1:3" x14ac:dyDescent="0.3">
      <c r="A4199" s="98" t="s">
        <v>249</v>
      </c>
      <c r="B4199" s="98">
        <v>2006</v>
      </c>
      <c r="C4199" s="98">
        <v>1</v>
      </c>
    </row>
    <row r="4200" spans="1:3" x14ac:dyDescent="0.3">
      <c r="A4200" s="98" t="s">
        <v>249</v>
      </c>
      <c r="B4200" s="98">
        <v>2007</v>
      </c>
      <c r="C4200" s="98">
        <v>1</v>
      </c>
    </row>
    <row r="4201" spans="1:3" x14ac:dyDescent="0.3">
      <c r="A4201" s="98" t="s">
        <v>249</v>
      </c>
      <c r="B4201" s="98">
        <v>2008</v>
      </c>
      <c r="C4201" s="98">
        <v>1</v>
      </c>
    </row>
    <row r="4202" spans="1:3" x14ac:dyDescent="0.3">
      <c r="A4202" s="98" t="s">
        <v>249</v>
      </c>
      <c r="B4202" s="98">
        <v>2009</v>
      </c>
      <c r="C4202" s="98">
        <v>1</v>
      </c>
    </row>
    <row r="4203" spans="1:3" x14ac:dyDescent="0.3">
      <c r="A4203" s="98" t="s">
        <v>249</v>
      </c>
      <c r="B4203" s="98">
        <v>2010</v>
      </c>
      <c r="C4203" s="98">
        <v>1</v>
      </c>
    </row>
    <row r="4204" spans="1:3" x14ac:dyDescent="0.3">
      <c r="A4204" s="98" t="s">
        <v>249</v>
      </c>
      <c r="B4204" s="98">
        <v>2011</v>
      </c>
      <c r="C4204" s="98">
        <v>1</v>
      </c>
    </row>
    <row r="4205" spans="1:3" x14ac:dyDescent="0.3">
      <c r="A4205" s="98" t="s">
        <v>249</v>
      </c>
      <c r="B4205" s="98">
        <v>2012</v>
      </c>
      <c r="C4205" s="98">
        <v>1</v>
      </c>
    </row>
    <row r="4206" spans="1:3" x14ac:dyDescent="0.3">
      <c r="A4206" s="98" t="s">
        <v>249</v>
      </c>
      <c r="B4206" s="98">
        <v>2013</v>
      </c>
      <c r="C4206" s="98">
        <v>1</v>
      </c>
    </row>
    <row r="4207" spans="1:3" x14ac:dyDescent="0.3">
      <c r="A4207" s="98" t="s">
        <v>249</v>
      </c>
      <c r="B4207" s="98">
        <v>2014</v>
      </c>
      <c r="C4207" s="98">
        <v>1</v>
      </c>
    </row>
    <row r="4208" spans="1:3" x14ac:dyDescent="0.3">
      <c r="A4208" s="98" t="s">
        <v>249</v>
      </c>
      <c r="B4208" s="98">
        <v>2015</v>
      </c>
      <c r="C4208" s="98">
        <v>1</v>
      </c>
    </row>
    <row r="4209" spans="1:3" x14ac:dyDescent="0.3">
      <c r="A4209" s="98" t="s">
        <v>249</v>
      </c>
      <c r="B4209" s="98">
        <v>2016</v>
      </c>
      <c r="C4209" s="98">
        <v>1</v>
      </c>
    </row>
    <row r="4210" spans="1:3" x14ac:dyDescent="0.3">
      <c r="A4210" s="98" t="s">
        <v>249</v>
      </c>
      <c r="B4210" s="98">
        <v>2017</v>
      </c>
      <c r="C4210" s="98">
        <v>1</v>
      </c>
    </row>
    <row r="4211" spans="1:3" x14ac:dyDescent="0.3">
      <c r="A4211" s="98" t="s">
        <v>249</v>
      </c>
      <c r="B4211" s="98">
        <v>2018</v>
      </c>
      <c r="C4211" s="98">
        <v>1</v>
      </c>
    </row>
    <row r="4212" spans="1:3" x14ac:dyDescent="0.3">
      <c r="A4212" s="98" t="s">
        <v>249</v>
      </c>
      <c r="B4212" s="98">
        <v>2019</v>
      </c>
      <c r="C4212" s="98">
        <v>1</v>
      </c>
    </row>
    <row r="4213" spans="1:3" x14ac:dyDescent="0.3">
      <c r="A4213" s="98" t="s">
        <v>249</v>
      </c>
      <c r="B4213" s="98">
        <v>2020</v>
      </c>
      <c r="C4213" s="98">
        <v>1</v>
      </c>
    </row>
    <row r="4214" spans="1:3" x14ac:dyDescent="0.3">
      <c r="A4214" s="98" t="s">
        <v>249</v>
      </c>
      <c r="B4214" s="98">
        <v>2021</v>
      </c>
      <c r="C4214" s="98">
        <v>1</v>
      </c>
    </row>
    <row r="4215" spans="1:3" x14ac:dyDescent="0.3">
      <c r="A4215" s="98" t="s">
        <v>249</v>
      </c>
      <c r="B4215" s="98">
        <v>2022</v>
      </c>
      <c r="C4215" s="98">
        <v>1</v>
      </c>
    </row>
    <row r="4216" spans="1:3" x14ac:dyDescent="0.3">
      <c r="A4216" s="98" t="s">
        <v>250</v>
      </c>
      <c r="B4216" s="98">
        <v>2001</v>
      </c>
      <c r="C4216" s="98">
        <v>14.768000000000001</v>
      </c>
    </row>
    <row r="4217" spans="1:3" x14ac:dyDescent="0.3">
      <c r="A4217" s="98" t="s">
        <v>250</v>
      </c>
      <c r="B4217" s="98">
        <v>2002</v>
      </c>
      <c r="C4217" s="98">
        <v>27.2</v>
      </c>
    </row>
    <row r="4218" spans="1:3" x14ac:dyDescent="0.3">
      <c r="A4218" s="98" t="s">
        <v>250</v>
      </c>
      <c r="B4218" s="98">
        <v>2003</v>
      </c>
      <c r="C4218" s="98">
        <v>29.3</v>
      </c>
    </row>
    <row r="4219" spans="1:3" x14ac:dyDescent="0.3">
      <c r="A4219" s="98" t="s">
        <v>250</v>
      </c>
      <c r="B4219" s="98">
        <v>2004</v>
      </c>
      <c r="C4219" s="98">
        <v>26.35</v>
      </c>
    </row>
    <row r="4220" spans="1:3" x14ac:dyDescent="0.3">
      <c r="A4220" s="98" t="s">
        <v>250</v>
      </c>
      <c r="B4220" s="98">
        <v>2005</v>
      </c>
      <c r="C4220" s="98">
        <v>24.1</v>
      </c>
    </row>
    <row r="4221" spans="1:3" x14ac:dyDescent="0.3">
      <c r="A4221" s="98" t="s">
        <v>250</v>
      </c>
      <c r="B4221" s="98">
        <v>2006</v>
      </c>
      <c r="C4221" s="98">
        <v>24.4</v>
      </c>
    </row>
    <row r="4222" spans="1:3" x14ac:dyDescent="0.3">
      <c r="A4222" s="98" t="s">
        <v>250</v>
      </c>
      <c r="B4222" s="98">
        <v>2007</v>
      </c>
      <c r="C4222" s="98">
        <v>21.5</v>
      </c>
    </row>
    <row r="4223" spans="1:3" x14ac:dyDescent="0.3">
      <c r="A4223" s="98" t="s">
        <v>250</v>
      </c>
      <c r="B4223" s="98">
        <v>2008</v>
      </c>
      <c r="C4223" s="98">
        <v>24.35</v>
      </c>
    </row>
    <row r="4224" spans="1:3" x14ac:dyDescent="0.3">
      <c r="A4224" s="98" t="s">
        <v>250</v>
      </c>
      <c r="B4224" s="98">
        <v>2009</v>
      </c>
      <c r="C4224" s="98">
        <v>19.626999999999999</v>
      </c>
    </row>
    <row r="4225" spans="1:3" x14ac:dyDescent="0.3">
      <c r="A4225" s="98" t="s">
        <v>250</v>
      </c>
      <c r="B4225" s="98">
        <v>2010</v>
      </c>
      <c r="C4225" s="98">
        <v>20.094000000000001</v>
      </c>
    </row>
    <row r="4226" spans="1:3" x14ac:dyDescent="0.3">
      <c r="A4226" s="98" t="s">
        <v>250</v>
      </c>
      <c r="B4226" s="98">
        <v>2011</v>
      </c>
      <c r="C4226" s="98">
        <v>19.898</v>
      </c>
    </row>
    <row r="4227" spans="1:3" x14ac:dyDescent="0.3">
      <c r="A4227" s="98" t="s">
        <v>250</v>
      </c>
      <c r="B4227" s="98">
        <v>2012</v>
      </c>
      <c r="C4227" s="98">
        <v>19.399000000000001</v>
      </c>
    </row>
    <row r="4228" spans="1:3" x14ac:dyDescent="0.3">
      <c r="A4228" s="98" t="s">
        <v>250</v>
      </c>
      <c r="B4228" s="98">
        <v>2013</v>
      </c>
      <c r="C4228" s="98">
        <v>21.388999999999999</v>
      </c>
    </row>
    <row r="4229" spans="1:3" x14ac:dyDescent="0.3">
      <c r="A4229" s="98" t="s">
        <v>250</v>
      </c>
      <c r="B4229" s="98">
        <v>2014</v>
      </c>
      <c r="C4229" s="98">
        <v>24.332999999999998</v>
      </c>
    </row>
    <row r="4230" spans="1:3" x14ac:dyDescent="0.3">
      <c r="A4230" s="98" t="s">
        <v>250</v>
      </c>
      <c r="B4230" s="98">
        <v>2015</v>
      </c>
      <c r="C4230" s="98">
        <v>29.873000000000001</v>
      </c>
    </row>
    <row r="4231" spans="1:3" x14ac:dyDescent="0.3">
      <c r="A4231" s="98" t="s">
        <v>250</v>
      </c>
      <c r="B4231" s="98">
        <v>2016</v>
      </c>
      <c r="C4231" s="98">
        <v>29.256</v>
      </c>
    </row>
    <row r="4232" spans="1:3" x14ac:dyDescent="0.3">
      <c r="A4232" s="98" t="s">
        <v>250</v>
      </c>
      <c r="B4232" s="98">
        <v>2017</v>
      </c>
      <c r="C4232" s="98">
        <v>28.763999999999999</v>
      </c>
    </row>
    <row r="4233" spans="1:3" x14ac:dyDescent="0.3">
      <c r="A4233" s="98" t="s">
        <v>250</v>
      </c>
      <c r="B4233" s="98">
        <v>2018</v>
      </c>
      <c r="C4233" s="98">
        <v>32.39</v>
      </c>
    </row>
    <row r="4234" spans="1:3" x14ac:dyDescent="0.3">
      <c r="A4234" s="98" t="s">
        <v>250</v>
      </c>
      <c r="B4234" s="98">
        <v>2019</v>
      </c>
      <c r="C4234" s="98">
        <v>37.335999999999999</v>
      </c>
    </row>
    <row r="4235" spans="1:3" x14ac:dyDescent="0.3">
      <c r="A4235" s="98" t="s">
        <v>250</v>
      </c>
      <c r="B4235" s="98">
        <v>2020</v>
      </c>
      <c r="C4235" s="98">
        <v>42.34</v>
      </c>
    </row>
    <row r="4236" spans="1:3" x14ac:dyDescent="0.3">
      <c r="A4236" s="98" t="s">
        <v>250</v>
      </c>
      <c r="B4236" s="98">
        <v>2021</v>
      </c>
      <c r="C4236" s="98">
        <v>44.695</v>
      </c>
    </row>
    <row r="4237" spans="1:3" x14ac:dyDescent="0.3">
      <c r="A4237" s="98" t="s">
        <v>250</v>
      </c>
      <c r="B4237" s="98">
        <v>2022</v>
      </c>
      <c r="C4237" s="98">
        <v>40.070999999999998</v>
      </c>
    </row>
    <row r="4238" spans="1:3" x14ac:dyDescent="0.3">
      <c r="A4238" s="98" t="s">
        <v>251</v>
      </c>
      <c r="B4238" s="98">
        <v>2001</v>
      </c>
    </row>
    <row r="4239" spans="1:3" x14ac:dyDescent="0.3">
      <c r="A4239" s="98" t="s">
        <v>251</v>
      </c>
      <c r="B4239" s="98">
        <v>2002</v>
      </c>
    </row>
    <row r="4240" spans="1:3" x14ac:dyDescent="0.3">
      <c r="A4240" s="98" t="s">
        <v>251</v>
      </c>
      <c r="B4240" s="98">
        <v>2003</v>
      </c>
    </row>
    <row r="4241" spans="1:3" x14ac:dyDescent="0.3">
      <c r="A4241" s="98" t="s">
        <v>251</v>
      </c>
      <c r="B4241" s="98">
        <v>2004</v>
      </c>
    </row>
    <row r="4242" spans="1:3" x14ac:dyDescent="0.3">
      <c r="A4242" s="98" t="s">
        <v>251</v>
      </c>
      <c r="B4242" s="98">
        <v>2005</v>
      </c>
    </row>
    <row r="4243" spans="1:3" x14ac:dyDescent="0.3">
      <c r="A4243" s="98" t="s">
        <v>251</v>
      </c>
      <c r="B4243" s="98">
        <v>2006</v>
      </c>
    </row>
    <row r="4244" spans="1:3" x14ac:dyDescent="0.3">
      <c r="A4244" s="98" t="s">
        <v>251</v>
      </c>
      <c r="B4244" s="98">
        <v>2007</v>
      </c>
    </row>
    <row r="4245" spans="1:3" x14ac:dyDescent="0.3">
      <c r="A4245" s="98" t="s">
        <v>251</v>
      </c>
      <c r="B4245" s="98">
        <v>2008</v>
      </c>
    </row>
    <row r="4246" spans="1:3" x14ac:dyDescent="0.3">
      <c r="A4246" s="98" t="s">
        <v>251</v>
      </c>
      <c r="B4246" s="98">
        <v>2009</v>
      </c>
    </row>
    <row r="4247" spans="1:3" x14ac:dyDescent="0.3">
      <c r="A4247" s="98" t="s">
        <v>251</v>
      </c>
      <c r="B4247" s="98">
        <v>2010</v>
      </c>
    </row>
    <row r="4248" spans="1:3" x14ac:dyDescent="0.3">
      <c r="A4248" s="98" t="s">
        <v>251</v>
      </c>
      <c r="B4248" s="98">
        <v>2011</v>
      </c>
    </row>
    <row r="4249" spans="1:3" x14ac:dyDescent="0.3">
      <c r="A4249" s="98" t="s">
        <v>251</v>
      </c>
      <c r="B4249" s="98">
        <v>2012</v>
      </c>
    </row>
    <row r="4250" spans="1:3" x14ac:dyDescent="0.3">
      <c r="A4250" s="98" t="s">
        <v>251</v>
      </c>
      <c r="B4250" s="98">
        <v>2013</v>
      </c>
      <c r="C4250" s="98">
        <v>2202.1999999999998</v>
      </c>
    </row>
    <row r="4251" spans="1:3" x14ac:dyDescent="0.3">
      <c r="A4251" s="98" t="s">
        <v>251</v>
      </c>
      <c r="B4251" s="98">
        <v>2014</v>
      </c>
      <c r="C4251" s="98">
        <v>2422.3989999999999</v>
      </c>
    </row>
    <row r="4252" spans="1:3" x14ac:dyDescent="0.3">
      <c r="A4252" s="98" t="s">
        <v>251</v>
      </c>
      <c r="B4252" s="98">
        <v>2015</v>
      </c>
      <c r="C4252" s="98">
        <v>2809.98</v>
      </c>
    </row>
    <row r="4253" spans="1:3" x14ac:dyDescent="0.3">
      <c r="A4253" s="98" t="s">
        <v>251</v>
      </c>
      <c r="B4253" s="98">
        <v>2016</v>
      </c>
      <c r="C4253" s="98">
        <v>3231.48</v>
      </c>
    </row>
    <row r="4254" spans="1:3" x14ac:dyDescent="0.3">
      <c r="A4254" s="98" t="s">
        <v>251</v>
      </c>
      <c r="B4254" s="98">
        <v>2017</v>
      </c>
      <c r="C4254" s="98">
        <v>8120.07</v>
      </c>
    </row>
    <row r="4255" spans="1:3" x14ac:dyDescent="0.3">
      <c r="A4255" s="98" t="s">
        <v>251</v>
      </c>
      <c r="B4255" s="98">
        <v>2018</v>
      </c>
      <c r="C4255" s="98">
        <v>8339.5499999999993</v>
      </c>
    </row>
    <row r="4256" spans="1:3" x14ac:dyDescent="0.3">
      <c r="A4256" s="98" t="s">
        <v>251</v>
      </c>
      <c r="B4256" s="98">
        <v>2019</v>
      </c>
      <c r="C4256" s="98">
        <v>9507.56</v>
      </c>
    </row>
    <row r="4257" spans="1:3" x14ac:dyDescent="0.3">
      <c r="A4257" s="98" t="s">
        <v>251</v>
      </c>
      <c r="B4257" s="98">
        <v>2020</v>
      </c>
      <c r="C4257" s="98">
        <v>10476.92</v>
      </c>
    </row>
    <row r="4258" spans="1:3" x14ac:dyDescent="0.3">
      <c r="A4258" s="98" t="s">
        <v>251</v>
      </c>
      <c r="B4258" s="98">
        <v>2021</v>
      </c>
      <c r="C4258" s="98">
        <v>10837.66</v>
      </c>
    </row>
    <row r="4259" spans="1:3" x14ac:dyDescent="0.3">
      <c r="A4259" s="98" t="s">
        <v>251</v>
      </c>
      <c r="B4259" s="98">
        <v>2022</v>
      </c>
      <c r="C4259" s="98">
        <v>11225.46</v>
      </c>
    </row>
    <row r="4260" spans="1:3" x14ac:dyDescent="0.3">
      <c r="A4260" s="98" t="s">
        <v>252</v>
      </c>
      <c r="B4260" s="98">
        <v>2001</v>
      </c>
      <c r="C4260" s="98">
        <v>146.74</v>
      </c>
    </row>
    <row r="4261" spans="1:3" x14ac:dyDescent="0.3">
      <c r="A4261" s="98" t="s">
        <v>252</v>
      </c>
      <c r="B4261" s="98">
        <v>2002</v>
      </c>
      <c r="C4261" s="98">
        <v>133.16999999999999</v>
      </c>
    </row>
    <row r="4262" spans="1:3" x14ac:dyDescent="0.3">
      <c r="A4262" s="98" t="s">
        <v>252</v>
      </c>
      <c r="B4262" s="98">
        <v>2003</v>
      </c>
      <c r="C4262" s="98">
        <v>111.81</v>
      </c>
    </row>
    <row r="4263" spans="1:3" x14ac:dyDescent="0.3">
      <c r="A4263" s="98" t="s">
        <v>252</v>
      </c>
      <c r="B4263" s="98">
        <v>2004</v>
      </c>
      <c r="C4263" s="98">
        <v>106.53</v>
      </c>
    </row>
    <row r="4264" spans="1:3" x14ac:dyDescent="0.3">
      <c r="A4264" s="98" t="s">
        <v>252</v>
      </c>
      <c r="B4264" s="98">
        <v>2005</v>
      </c>
      <c r="C4264" s="98">
        <v>112.33</v>
      </c>
    </row>
    <row r="4265" spans="1:3" x14ac:dyDescent="0.3">
      <c r="A4265" s="98" t="s">
        <v>252</v>
      </c>
      <c r="B4265" s="98">
        <v>2006</v>
      </c>
      <c r="C4265" s="98">
        <v>106.48</v>
      </c>
    </row>
    <row r="4266" spans="1:3" x14ac:dyDescent="0.3">
      <c r="A4266" s="98" t="s">
        <v>252</v>
      </c>
      <c r="B4266" s="98">
        <v>2007</v>
      </c>
      <c r="C4266" s="98">
        <v>99.86</v>
      </c>
    </row>
    <row r="4267" spans="1:3" x14ac:dyDescent="0.3">
      <c r="A4267" s="98" t="s">
        <v>252</v>
      </c>
      <c r="B4267" s="98">
        <v>2008</v>
      </c>
      <c r="C4267" s="98">
        <v>112.6</v>
      </c>
    </row>
    <row r="4268" spans="1:3" x14ac:dyDescent="0.3">
      <c r="A4268" s="98" t="s">
        <v>252</v>
      </c>
      <c r="B4268" s="98">
        <v>2009</v>
      </c>
      <c r="C4268" s="98">
        <v>97.93</v>
      </c>
    </row>
    <row r="4269" spans="1:3" x14ac:dyDescent="0.3">
      <c r="A4269" s="98" t="s">
        <v>252</v>
      </c>
      <c r="B4269" s="98">
        <v>2010</v>
      </c>
      <c r="C4269" s="98">
        <v>93.15</v>
      </c>
    </row>
    <row r="4270" spans="1:3" x14ac:dyDescent="0.3">
      <c r="A4270" s="98" t="s">
        <v>252</v>
      </c>
      <c r="B4270" s="98">
        <v>2011</v>
      </c>
      <c r="C4270" s="98">
        <v>93.56</v>
      </c>
    </row>
    <row r="4271" spans="1:3" x14ac:dyDescent="0.3">
      <c r="A4271" s="98" t="s">
        <v>252</v>
      </c>
      <c r="B4271" s="98">
        <v>2012</v>
      </c>
      <c r="C4271" s="98">
        <v>91.73</v>
      </c>
    </row>
    <row r="4272" spans="1:3" x14ac:dyDescent="0.3">
      <c r="A4272" s="98" t="s">
        <v>252</v>
      </c>
      <c r="B4272" s="98">
        <v>2013</v>
      </c>
      <c r="C4272" s="98">
        <v>97.3</v>
      </c>
    </row>
    <row r="4273" spans="1:3" x14ac:dyDescent="0.3">
      <c r="A4273" s="98" t="s">
        <v>252</v>
      </c>
      <c r="B4273" s="98">
        <v>2014</v>
      </c>
      <c r="C4273" s="98">
        <v>102.72</v>
      </c>
    </row>
    <row r="4274" spans="1:3" x14ac:dyDescent="0.3">
      <c r="A4274" s="98" t="s">
        <v>252</v>
      </c>
      <c r="B4274" s="98">
        <v>2015</v>
      </c>
      <c r="C4274" s="98">
        <v>110.52</v>
      </c>
    </row>
    <row r="4275" spans="1:3" x14ac:dyDescent="0.3">
      <c r="A4275" s="98" t="s">
        <v>252</v>
      </c>
      <c r="B4275" s="98">
        <v>2016</v>
      </c>
      <c r="C4275" s="98">
        <v>112.28</v>
      </c>
    </row>
    <row r="4276" spans="1:3" x14ac:dyDescent="0.3">
      <c r="A4276" s="98" t="s">
        <v>252</v>
      </c>
      <c r="B4276" s="98">
        <v>2017</v>
      </c>
      <c r="C4276" s="98">
        <v>107.5</v>
      </c>
    </row>
    <row r="4277" spans="1:3" x14ac:dyDescent="0.3">
      <c r="A4277" s="98" t="s">
        <v>252</v>
      </c>
      <c r="B4277" s="98">
        <v>2018</v>
      </c>
      <c r="C4277" s="98">
        <v>112.63</v>
      </c>
    </row>
    <row r="4278" spans="1:3" x14ac:dyDescent="0.3">
      <c r="A4278" s="98" t="s">
        <v>252</v>
      </c>
      <c r="B4278" s="98">
        <v>2019</v>
      </c>
      <c r="C4278" s="98">
        <v>114.3</v>
      </c>
    </row>
    <row r="4279" spans="1:3" x14ac:dyDescent="0.3">
      <c r="A4279" s="98" t="s">
        <v>252</v>
      </c>
      <c r="B4279" s="98">
        <v>2020</v>
      </c>
      <c r="C4279" s="98">
        <v>107.7</v>
      </c>
    </row>
    <row r="4280" spans="1:3" x14ac:dyDescent="0.3">
      <c r="A4280" s="98" t="s">
        <v>252</v>
      </c>
      <c r="B4280" s="98">
        <v>2021</v>
      </c>
      <c r="C4280" s="98">
        <v>112.2</v>
      </c>
    </row>
    <row r="4281" spans="1:3" x14ac:dyDescent="0.3">
      <c r="A4281" s="98" t="s">
        <v>252</v>
      </c>
      <c r="B4281" s="98">
        <v>2022</v>
      </c>
      <c r="C4281" s="98">
        <v>117.24</v>
      </c>
    </row>
    <row r="4282" spans="1:3" x14ac:dyDescent="0.3">
      <c r="A4282" s="98" t="s">
        <v>253</v>
      </c>
      <c r="B4282" s="98">
        <v>2001</v>
      </c>
      <c r="C4282" s="98">
        <v>0.76300000000000001</v>
      </c>
    </row>
    <row r="4283" spans="1:3" x14ac:dyDescent="0.3">
      <c r="A4283" s="98" t="s">
        <v>253</v>
      </c>
      <c r="B4283" s="98">
        <v>2002</v>
      </c>
      <c r="C4283" s="98">
        <v>1.4013</v>
      </c>
    </row>
    <row r="4284" spans="1:3" x14ac:dyDescent="0.3">
      <c r="A4284" s="98" t="s">
        <v>253</v>
      </c>
      <c r="B4284" s="98">
        <v>2003</v>
      </c>
      <c r="C4284" s="98">
        <v>1.5980000000000001</v>
      </c>
    </row>
    <row r="4285" spans="1:3" x14ac:dyDescent="0.3">
      <c r="A4285" s="98" t="s">
        <v>253</v>
      </c>
      <c r="B4285" s="98">
        <v>2004</v>
      </c>
      <c r="C4285" s="98">
        <v>1.9179999999999999</v>
      </c>
    </row>
    <row r="4286" spans="1:3" x14ac:dyDescent="0.3">
      <c r="A4286" s="98" t="s">
        <v>253</v>
      </c>
      <c r="B4286" s="98">
        <v>2005</v>
      </c>
      <c r="C4286" s="98">
        <v>2.1469999999999998</v>
      </c>
    </row>
    <row r="4287" spans="1:3" x14ac:dyDescent="0.3">
      <c r="A4287" s="98" t="s">
        <v>253</v>
      </c>
      <c r="B4287" s="98">
        <v>2006</v>
      </c>
      <c r="C4287" s="98">
        <v>2.1469999999999998</v>
      </c>
    </row>
    <row r="4288" spans="1:3" x14ac:dyDescent="0.3">
      <c r="A4288" s="98" t="s">
        <v>253</v>
      </c>
      <c r="B4288" s="98">
        <v>2007</v>
      </c>
      <c r="C4288" s="98">
        <v>2.1469999999999998</v>
      </c>
    </row>
    <row r="4289" spans="1:3" x14ac:dyDescent="0.3">
      <c r="A4289" s="98" t="s">
        <v>253</v>
      </c>
      <c r="B4289" s="98">
        <v>2008</v>
      </c>
      <c r="C4289" s="98">
        <v>2.1469999999999998</v>
      </c>
    </row>
    <row r="4290" spans="1:3" x14ac:dyDescent="0.3">
      <c r="A4290" s="98" t="s">
        <v>253</v>
      </c>
      <c r="B4290" s="98">
        <v>2009</v>
      </c>
      <c r="C4290" s="98">
        <v>2.1469999999999998</v>
      </c>
    </row>
    <row r="4291" spans="1:3" x14ac:dyDescent="0.3">
      <c r="A4291" s="98" t="s">
        <v>253</v>
      </c>
      <c r="B4291" s="98">
        <v>2010</v>
      </c>
      <c r="C4291" s="98">
        <v>2.5935000000000001</v>
      </c>
    </row>
    <row r="4292" spans="1:3" x14ac:dyDescent="0.3">
      <c r="A4292" s="98" t="s">
        <v>253</v>
      </c>
      <c r="B4292" s="98">
        <v>2011</v>
      </c>
      <c r="C4292" s="98">
        <v>4.2892999999999999</v>
      </c>
    </row>
    <row r="4293" spans="1:3" x14ac:dyDescent="0.3">
      <c r="A4293" s="98" t="s">
        <v>253</v>
      </c>
      <c r="B4293" s="98">
        <v>2012</v>
      </c>
      <c r="C4293" s="98">
        <v>4.2892999999999999</v>
      </c>
    </row>
    <row r="4294" spans="1:3" x14ac:dyDescent="0.3">
      <c r="A4294" s="98" t="s">
        <v>253</v>
      </c>
      <c r="B4294" s="98">
        <v>2013</v>
      </c>
      <c r="C4294" s="98">
        <v>6.2842000000000002</v>
      </c>
    </row>
    <row r="4295" spans="1:3" x14ac:dyDescent="0.3">
      <c r="A4295" s="98" t="s">
        <v>253</v>
      </c>
      <c r="B4295" s="98">
        <v>2014</v>
      </c>
      <c r="C4295" s="98">
        <v>6.2842000000000002</v>
      </c>
    </row>
    <row r="4296" spans="1:3" x14ac:dyDescent="0.3">
      <c r="A4296" s="98" t="s">
        <v>253</v>
      </c>
      <c r="B4296" s="98">
        <v>2015</v>
      </c>
      <c r="C4296" s="98">
        <v>6.2842000000000002</v>
      </c>
    </row>
    <row r="4297" spans="1:3" x14ac:dyDescent="0.3">
      <c r="A4297" s="98" t="s">
        <v>253</v>
      </c>
      <c r="B4297" s="98">
        <v>2016</v>
      </c>
      <c r="C4297" s="98">
        <v>9.9749999999999996</v>
      </c>
    </row>
    <row r="4298" spans="1:3" x14ac:dyDescent="0.3">
      <c r="A4298" s="98" t="s">
        <v>253</v>
      </c>
      <c r="B4298" s="98">
        <v>2017</v>
      </c>
      <c r="C4298" s="98">
        <v>9.9749999999999996</v>
      </c>
    </row>
    <row r="4299" spans="1:3" x14ac:dyDescent="0.3">
      <c r="A4299" s="98" t="s">
        <v>253</v>
      </c>
      <c r="B4299" s="98">
        <v>2018</v>
      </c>
    </row>
    <row r="4300" spans="1:3" x14ac:dyDescent="0.3">
      <c r="A4300" s="98" t="s">
        <v>253</v>
      </c>
      <c r="B4300" s="98">
        <v>2019</v>
      </c>
    </row>
    <row r="4301" spans="1:3" x14ac:dyDescent="0.3">
      <c r="A4301" s="98" t="s">
        <v>253</v>
      </c>
      <c r="B4301" s="98">
        <v>2020</v>
      </c>
    </row>
    <row r="4302" spans="1:3" x14ac:dyDescent="0.3">
      <c r="A4302" s="98" t="s">
        <v>253</v>
      </c>
      <c r="B4302" s="98">
        <v>2021</v>
      </c>
    </row>
    <row r="4303" spans="1:3" x14ac:dyDescent="0.3">
      <c r="A4303" s="98" t="s">
        <v>253</v>
      </c>
      <c r="B4303" s="98">
        <v>2022</v>
      </c>
    </row>
    <row r="4304" spans="1:3" x14ac:dyDescent="0.3">
      <c r="A4304" s="98" t="s">
        <v>254</v>
      </c>
      <c r="B4304" s="98">
        <v>2001</v>
      </c>
      <c r="C4304" s="98">
        <v>15084</v>
      </c>
    </row>
    <row r="4305" spans="1:3" x14ac:dyDescent="0.3">
      <c r="A4305" s="98" t="s">
        <v>254</v>
      </c>
      <c r="B4305" s="98">
        <v>2002</v>
      </c>
      <c r="C4305" s="98">
        <v>15403</v>
      </c>
    </row>
    <row r="4306" spans="1:3" x14ac:dyDescent="0.3">
      <c r="A4306" s="98" t="s">
        <v>254</v>
      </c>
      <c r="B4306" s="98">
        <v>2003</v>
      </c>
      <c r="C4306" s="98">
        <v>15646</v>
      </c>
    </row>
    <row r="4307" spans="1:3" x14ac:dyDescent="0.3">
      <c r="A4307" s="98" t="s">
        <v>254</v>
      </c>
      <c r="B4307" s="98">
        <v>2004</v>
      </c>
      <c r="C4307" s="98">
        <v>15777</v>
      </c>
    </row>
    <row r="4308" spans="1:3" x14ac:dyDescent="0.3">
      <c r="A4308" s="98" t="s">
        <v>254</v>
      </c>
      <c r="B4308" s="98">
        <v>2005</v>
      </c>
      <c r="C4308" s="98">
        <v>15916</v>
      </c>
    </row>
    <row r="4309" spans="1:3" x14ac:dyDescent="0.3">
      <c r="A4309" s="98" t="s">
        <v>254</v>
      </c>
      <c r="B4309" s="98">
        <v>2006</v>
      </c>
      <c r="C4309" s="98">
        <v>16054</v>
      </c>
    </row>
    <row r="4310" spans="1:3" x14ac:dyDescent="0.3">
      <c r="A4310" s="98" t="s">
        <v>254</v>
      </c>
      <c r="B4310" s="98">
        <v>2007</v>
      </c>
      <c r="C4310" s="98">
        <v>16114</v>
      </c>
    </row>
    <row r="4311" spans="1:3" x14ac:dyDescent="0.3">
      <c r="A4311" s="98" t="s">
        <v>254</v>
      </c>
      <c r="B4311" s="98">
        <v>2008</v>
      </c>
      <c r="C4311" s="98">
        <v>16977</v>
      </c>
    </row>
    <row r="4312" spans="1:3" x14ac:dyDescent="0.3">
      <c r="A4312" s="98" t="s">
        <v>254</v>
      </c>
      <c r="B4312" s="98">
        <v>2009</v>
      </c>
      <c r="C4312" s="98">
        <v>17941</v>
      </c>
    </row>
    <row r="4313" spans="1:3" x14ac:dyDescent="0.3">
      <c r="A4313" s="98" t="s">
        <v>254</v>
      </c>
      <c r="B4313" s="98">
        <v>2010</v>
      </c>
      <c r="C4313" s="98">
        <v>18932</v>
      </c>
    </row>
    <row r="4314" spans="1:3" x14ac:dyDescent="0.3">
      <c r="A4314" s="98" t="s">
        <v>254</v>
      </c>
      <c r="B4314" s="98">
        <v>2011</v>
      </c>
      <c r="C4314" s="98">
        <v>20828</v>
      </c>
    </row>
    <row r="4315" spans="1:3" x14ac:dyDescent="0.3">
      <c r="A4315" s="98" t="s">
        <v>254</v>
      </c>
      <c r="B4315" s="98">
        <v>2012</v>
      </c>
      <c r="C4315" s="98">
        <v>20828</v>
      </c>
    </row>
    <row r="4316" spans="1:3" x14ac:dyDescent="0.3">
      <c r="A4316" s="98" t="s">
        <v>254</v>
      </c>
      <c r="B4316" s="98">
        <v>2013</v>
      </c>
      <c r="C4316" s="98">
        <v>21036</v>
      </c>
    </row>
    <row r="4317" spans="1:3" x14ac:dyDescent="0.3">
      <c r="A4317" s="98" t="s">
        <v>254</v>
      </c>
      <c r="B4317" s="98">
        <v>2014</v>
      </c>
      <c r="C4317" s="98">
        <v>21246</v>
      </c>
    </row>
    <row r="4318" spans="1:3" x14ac:dyDescent="0.3">
      <c r="A4318" s="98" t="s">
        <v>254</v>
      </c>
      <c r="B4318" s="98">
        <v>2015</v>
      </c>
      <c r="C4318" s="98">
        <v>21890</v>
      </c>
    </row>
    <row r="4319" spans="1:3" x14ac:dyDescent="0.3">
      <c r="A4319" s="98" t="s">
        <v>254</v>
      </c>
      <c r="B4319" s="98">
        <v>2016</v>
      </c>
      <c r="C4319" s="98">
        <v>22159</v>
      </c>
    </row>
    <row r="4320" spans="1:3" x14ac:dyDescent="0.3">
      <c r="A4320" s="98" t="s">
        <v>254</v>
      </c>
      <c r="B4320" s="98">
        <v>2017</v>
      </c>
      <c r="C4320" s="98">
        <v>22425</v>
      </c>
    </row>
    <row r="4321" spans="1:3" x14ac:dyDescent="0.3">
      <c r="A4321" s="98" t="s">
        <v>254</v>
      </c>
      <c r="B4321" s="98">
        <v>2018</v>
      </c>
      <c r="C4321" s="98">
        <v>22825</v>
      </c>
    </row>
    <row r="4322" spans="1:3" x14ac:dyDescent="0.3">
      <c r="A4322" s="98" t="s">
        <v>254</v>
      </c>
      <c r="B4322" s="98">
        <v>2019</v>
      </c>
      <c r="C4322" s="98">
        <v>23155</v>
      </c>
    </row>
    <row r="4323" spans="1:3" x14ac:dyDescent="0.3">
      <c r="A4323" s="98" t="s">
        <v>254</v>
      </c>
      <c r="B4323" s="98">
        <v>2020</v>
      </c>
      <c r="C4323" s="98">
        <v>23131</v>
      </c>
    </row>
    <row r="4324" spans="1:3" x14ac:dyDescent="0.3">
      <c r="A4324" s="98" t="s">
        <v>254</v>
      </c>
      <c r="B4324" s="98">
        <v>2021</v>
      </c>
      <c r="C4324" s="98">
        <v>23145</v>
      </c>
    </row>
    <row r="4325" spans="1:3" x14ac:dyDescent="0.3">
      <c r="A4325" s="98" t="s">
        <v>254</v>
      </c>
      <c r="B4325" s="98">
        <v>2022</v>
      </c>
      <c r="C4325" s="98">
        <v>23612</v>
      </c>
    </row>
    <row r="4326" spans="1:3" x14ac:dyDescent="0.3">
      <c r="A4326" s="98" t="s">
        <v>255</v>
      </c>
      <c r="B4326" s="98">
        <v>2001</v>
      </c>
      <c r="C4326" s="98">
        <v>744.30614000000003</v>
      </c>
    </row>
    <row r="4327" spans="1:3" x14ac:dyDescent="0.3">
      <c r="A4327" s="98" t="s">
        <v>255</v>
      </c>
      <c r="B4327" s="98">
        <v>2002</v>
      </c>
      <c r="C4327" s="98">
        <v>625.49537999999995</v>
      </c>
    </row>
    <row r="4328" spans="1:3" x14ac:dyDescent="0.3">
      <c r="A4328" s="98" t="s">
        <v>255</v>
      </c>
      <c r="B4328" s="98">
        <v>2003</v>
      </c>
      <c r="C4328" s="98">
        <v>519.36420999999996</v>
      </c>
    </row>
    <row r="4329" spans="1:3" x14ac:dyDescent="0.3">
      <c r="A4329" s="98" t="s">
        <v>255</v>
      </c>
      <c r="B4329" s="98">
        <v>2004</v>
      </c>
      <c r="C4329" s="98">
        <v>481.57771000000002</v>
      </c>
    </row>
    <row r="4330" spans="1:3" x14ac:dyDescent="0.3">
      <c r="A4330" s="98" t="s">
        <v>255</v>
      </c>
      <c r="B4330" s="98">
        <v>2005</v>
      </c>
      <c r="C4330" s="98">
        <v>556.03713000000005</v>
      </c>
    </row>
    <row r="4331" spans="1:3" x14ac:dyDescent="0.3">
      <c r="A4331" s="98" t="s">
        <v>255</v>
      </c>
      <c r="B4331" s="98">
        <v>2006</v>
      </c>
      <c r="C4331" s="98">
        <v>498.06909999999999</v>
      </c>
    </row>
    <row r="4332" spans="1:3" x14ac:dyDescent="0.3">
      <c r="A4332" s="98" t="s">
        <v>255</v>
      </c>
      <c r="B4332" s="98">
        <v>2007</v>
      </c>
      <c r="C4332" s="98">
        <v>445.59269</v>
      </c>
    </row>
    <row r="4333" spans="1:3" x14ac:dyDescent="0.3">
      <c r="A4333" s="98" t="s">
        <v>255</v>
      </c>
      <c r="B4333" s="98">
        <v>2008</v>
      </c>
      <c r="C4333" s="98">
        <v>471.33506</v>
      </c>
    </row>
    <row r="4334" spans="1:3" x14ac:dyDescent="0.3">
      <c r="A4334" s="98" t="s">
        <v>255</v>
      </c>
      <c r="B4334" s="98">
        <v>2009</v>
      </c>
      <c r="C4334" s="98">
        <v>455.33596999999997</v>
      </c>
    </row>
    <row r="4335" spans="1:3" x14ac:dyDescent="0.3">
      <c r="A4335" s="98" t="s">
        <v>255</v>
      </c>
      <c r="B4335" s="98">
        <v>2010</v>
      </c>
      <c r="C4335" s="98">
        <v>490.91228999999998</v>
      </c>
    </row>
    <row r="4336" spans="1:3" x14ac:dyDescent="0.3">
      <c r="A4336" s="98" t="s">
        <v>255</v>
      </c>
      <c r="B4336" s="98">
        <v>2011</v>
      </c>
      <c r="C4336" s="98">
        <v>506.96113000000003</v>
      </c>
    </row>
    <row r="4337" spans="1:3" x14ac:dyDescent="0.3">
      <c r="A4337" s="98" t="s">
        <v>255</v>
      </c>
      <c r="B4337" s="98">
        <v>2012</v>
      </c>
      <c r="C4337" s="98">
        <v>497.16309999999999</v>
      </c>
    </row>
    <row r="4338" spans="1:3" x14ac:dyDescent="0.3">
      <c r="A4338" s="98" t="s">
        <v>255</v>
      </c>
      <c r="B4338" s="98">
        <v>2013</v>
      </c>
      <c r="C4338" s="98">
        <v>475.64136000000002</v>
      </c>
    </row>
    <row r="4339" spans="1:3" x14ac:dyDescent="0.3">
      <c r="A4339" s="98" t="s">
        <v>255</v>
      </c>
      <c r="B4339" s="98">
        <v>2014</v>
      </c>
      <c r="C4339" s="98">
        <v>540.28251</v>
      </c>
    </row>
    <row r="4340" spans="1:3" x14ac:dyDescent="0.3">
      <c r="A4340" s="98" t="s">
        <v>255</v>
      </c>
      <c r="B4340" s="98">
        <v>2015</v>
      </c>
      <c r="C4340" s="98">
        <v>602.51400999999998</v>
      </c>
    </row>
    <row r="4341" spans="1:3" x14ac:dyDescent="0.3">
      <c r="A4341" s="98" t="s">
        <v>255</v>
      </c>
      <c r="B4341" s="98">
        <v>2016</v>
      </c>
      <c r="C4341" s="98">
        <v>622.29105000000004</v>
      </c>
    </row>
    <row r="4342" spans="1:3" x14ac:dyDescent="0.3">
      <c r="A4342" s="98" t="s">
        <v>255</v>
      </c>
      <c r="B4342" s="98">
        <v>2017</v>
      </c>
      <c r="C4342" s="98">
        <v>546.94988999999998</v>
      </c>
    </row>
    <row r="4343" spans="1:3" x14ac:dyDescent="0.3">
      <c r="A4343" s="98" t="s">
        <v>255</v>
      </c>
      <c r="B4343" s="98">
        <v>2018</v>
      </c>
      <c r="C4343" s="98">
        <v>572.88820999999996</v>
      </c>
    </row>
    <row r="4344" spans="1:3" x14ac:dyDescent="0.3">
      <c r="A4344" s="98" t="s">
        <v>255</v>
      </c>
      <c r="B4344" s="98">
        <v>2019</v>
      </c>
      <c r="C4344" s="98">
        <v>583.90332999999998</v>
      </c>
    </row>
    <row r="4345" spans="1:3" x14ac:dyDescent="0.3">
      <c r="A4345" s="98" t="s">
        <v>255</v>
      </c>
      <c r="B4345" s="98">
        <v>2020</v>
      </c>
      <c r="C4345" s="98">
        <v>534.55871999999999</v>
      </c>
    </row>
    <row r="4346" spans="1:3" x14ac:dyDescent="0.3">
      <c r="A4346" s="98" t="s">
        <v>255</v>
      </c>
      <c r="B4346" s="98">
        <v>2021</v>
      </c>
      <c r="C4346" s="98">
        <v>579.16034000000002</v>
      </c>
    </row>
    <row r="4347" spans="1:3" x14ac:dyDescent="0.3">
      <c r="A4347" s="98" t="s">
        <v>255</v>
      </c>
      <c r="B4347" s="98">
        <v>2022</v>
      </c>
      <c r="C4347" s="98">
        <v>614.99811999999997</v>
      </c>
    </row>
    <row r="4348" spans="1:3" x14ac:dyDescent="0.3">
      <c r="A4348" s="98" t="s">
        <v>256</v>
      </c>
      <c r="B4348" s="98">
        <v>2001</v>
      </c>
      <c r="C4348" s="98">
        <v>173.27</v>
      </c>
    </row>
    <row r="4349" spans="1:3" x14ac:dyDescent="0.3">
      <c r="A4349" s="98" t="s">
        <v>256</v>
      </c>
      <c r="B4349" s="98">
        <v>2002</v>
      </c>
      <c r="C4349" s="98">
        <v>179.01</v>
      </c>
    </row>
    <row r="4350" spans="1:3" x14ac:dyDescent="0.3">
      <c r="A4350" s="98" t="s">
        <v>256</v>
      </c>
      <c r="B4350" s="98">
        <v>2003</v>
      </c>
      <c r="C4350" s="98">
        <v>184.31</v>
      </c>
    </row>
    <row r="4351" spans="1:3" x14ac:dyDescent="0.3">
      <c r="A4351" s="98" t="s">
        <v>256</v>
      </c>
      <c r="B4351" s="98">
        <v>2004</v>
      </c>
      <c r="C4351" s="98">
        <v>185.87</v>
      </c>
    </row>
    <row r="4352" spans="1:3" x14ac:dyDescent="0.3">
      <c r="A4352" s="98" t="s">
        <v>256</v>
      </c>
      <c r="B4352" s="98">
        <v>2005</v>
      </c>
      <c r="C4352" s="98">
        <v>195.08</v>
      </c>
    </row>
    <row r="4353" spans="1:3" x14ac:dyDescent="0.3">
      <c r="A4353" s="98" t="s">
        <v>256</v>
      </c>
      <c r="B4353" s="98">
        <v>2006</v>
      </c>
      <c r="C4353" s="98">
        <v>198.5</v>
      </c>
    </row>
    <row r="4354" spans="1:3" x14ac:dyDescent="0.3">
      <c r="A4354" s="98" t="s">
        <v>256</v>
      </c>
      <c r="B4354" s="98">
        <v>2007</v>
      </c>
      <c r="C4354" s="98">
        <v>199.54</v>
      </c>
    </row>
    <row r="4355" spans="1:3" x14ac:dyDescent="0.3">
      <c r="A4355" s="98" t="s">
        <v>256</v>
      </c>
      <c r="B4355" s="98">
        <v>2008</v>
      </c>
      <c r="C4355" s="98">
        <v>200.08</v>
      </c>
    </row>
    <row r="4356" spans="1:3" x14ac:dyDescent="0.3">
      <c r="A4356" s="98" t="s">
        <v>256</v>
      </c>
      <c r="B4356" s="98">
        <v>2009</v>
      </c>
      <c r="C4356" s="98">
        <v>207.32</v>
      </c>
    </row>
    <row r="4357" spans="1:3" x14ac:dyDescent="0.3">
      <c r="A4357" s="98" t="s">
        <v>256</v>
      </c>
      <c r="B4357" s="98">
        <v>2010</v>
      </c>
      <c r="C4357" s="98">
        <v>213.8</v>
      </c>
    </row>
    <row r="4358" spans="1:3" x14ac:dyDescent="0.3">
      <c r="A4358" s="98" t="s">
        <v>256</v>
      </c>
      <c r="B4358" s="98">
        <v>2011</v>
      </c>
      <c r="C4358" s="98">
        <v>213.8</v>
      </c>
    </row>
    <row r="4359" spans="1:3" x14ac:dyDescent="0.3">
      <c r="A4359" s="98" t="s">
        <v>256</v>
      </c>
      <c r="B4359" s="98">
        <v>2012</v>
      </c>
      <c r="C4359" s="98">
        <v>214.89</v>
      </c>
    </row>
    <row r="4360" spans="1:3" x14ac:dyDescent="0.3">
      <c r="A4360" s="98" t="s">
        <v>256</v>
      </c>
      <c r="B4360" s="98">
        <v>2013</v>
      </c>
      <c r="C4360" s="98">
        <v>214.89</v>
      </c>
    </row>
    <row r="4361" spans="1:3" x14ac:dyDescent="0.3">
      <c r="A4361" s="98" t="s">
        <v>256</v>
      </c>
      <c r="B4361" s="98">
        <v>2014</v>
      </c>
      <c r="C4361" s="98">
        <v>214.89</v>
      </c>
    </row>
    <row r="4362" spans="1:3" x14ac:dyDescent="0.3">
      <c r="A4362" s="98" t="s">
        <v>256</v>
      </c>
      <c r="B4362" s="98">
        <v>2015</v>
      </c>
      <c r="C4362" s="98">
        <v>245</v>
      </c>
    </row>
    <row r="4363" spans="1:3" x14ac:dyDescent="0.3">
      <c r="A4363" s="98" t="s">
        <v>256</v>
      </c>
      <c r="B4363" s="98">
        <v>2016</v>
      </c>
      <c r="C4363" s="98">
        <v>303.75</v>
      </c>
    </row>
    <row r="4364" spans="1:3" x14ac:dyDescent="0.3">
      <c r="A4364" s="98" t="s">
        <v>256</v>
      </c>
      <c r="B4364" s="98">
        <v>2017</v>
      </c>
      <c r="C4364" s="98">
        <v>214.89</v>
      </c>
    </row>
    <row r="4365" spans="1:3" x14ac:dyDescent="0.3">
      <c r="A4365" s="98" t="s">
        <v>256</v>
      </c>
      <c r="B4365" s="98">
        <v>2018</v>
      </c>
      <c r="C4365" s="98">
        <v>214.89</v>
      </c>
    </row>
    <row r="4366" spans="1:3" x14ac:dyDescent="0.3">
      <c r="A4366" s="98" t="s">
        <v>256</v>
      </c>
      <c r="B4366" s="98">
        <v>2019</v>
      </c>
      <c r="C4366" s="98">
        <v>612</v>
      </c>
    </row>
    <row r="4367" spans="1:3" x14ac:dyDescent="0.3">
      <c r="A4367" s="98" t="s">
        <v>256</v>
      </c>
      <c r="B4367" s="98">
        <v>2020</v>
      </c>
      <c r="C4367" s="98">
        <v>669</v>
      </c>
    </row>
    <row r="4368" spans="1:3" x14ac:dyDescent="0.3">
      <c r="A4368" s="98" t="s">
        <v>256</v>
      </c>
      <c r="B4368" s="98">
        <v>2021</v>
      </c>
      <c r="C4368" s="98">
        <v>952</v>
      </c>
    </row>
    <row r="4369" spans="1:3" x14ac:dyDescent="0.3">
      <c r="A4369" s="98" t="s">
        <v>256</v>
      </c>
      <c r="B4369" s="98">
        <v>2022</v>
      </c>
      <c r="C4369" s="98">
        <v>1242</v>
      </c>
    </row>
    <row r="4370" spans="1:3" x14ac:dyDescent="0.3">
      <c r="A4370" s="98" t="s">
        <v>257</v>
      </c>
      <c r="B4370" s="98">
        <v>2001</v>
      </c>
      <c r="C4370" s="98">
        <v>3.8304</v>
      </c>
    </row>
    <row r="4371" spans="1:3" x14ac:dyDescent="0.3">
      <c r="A4371" s="98" t="s">
        <v>257</v>
      </c>
      <c r="B4371" s="98">
        <v>2002</v>
      </c>
      <c r="C4371" s="98">
        <v>4.3343999999999996</v>
      </c>
    </row>
    <row r="4372" spans="1:3" x14ac:dyDescent="0.3">
      <c r="A4372" s="98" t="s">
        <v>257</v>
      </c>
      <c r="B4372" s="98">
        <v>2003</v>
      </c>
      <c r="C4372" s="98">
        <v>4.6454800000000001</v>
      </c>
    </row>
    <row r="4373" spans="1:3" x14ac:dyDescent="0.3">
      <c r="A4373" s="98" t="s">
        <v>257</v>
      </c>
      <c r="B4373" s="98">
        <v>2004</v>
      </c>
      <c r="C4373" s="98">
        <v>4.7713099999999997</v>
      </c>
    </row>
    <row r="4374" spans="1:3" x14ac:dyDescent="0.3">
      <c r="A4374" s="98" t="s">
        <v>257</v>
      </c>
      <c r="B4374" s="98">
        <v>2005</v>
      </c>
      <c r="C4374" s="98">
        <v>3.51</v>
      </c>
    </row>
    <row r="4375" spans="1:3" x14ac:dyDescent="0.3">
      <c r="A4375" s="98" t="s">
        <v>257</v>
      </c>
      <c r="B4375" s="98">
        <v>2006</v>
      </c>
      <c r="C4375" s="98">
        <v>4.41</v>
      </c>
    </row>
    <row r="4376" spans="1:3" x14ac:dyDescent="0.3">
      <c r="A4376" s="98" t="s">
        <v>257</v>
      </c>
      <c r="B4376" s="98">
        <v>2007</v>
      </c>
      <c r="C4376" s="98">
        <v>3.84</v>
      </c>
    </row>
    <row r="4377" spans="1:3" x14ac:dyDescent="0.3">
      <c r="A4377" s="98" t="s">
        <v>257</v>
      </c>
      <c r="B4377" s="98">
        <v>2008</v>
      </c>
      <c r="C4377" s="98">
        <v>4.83</v>
      </c>
    </row>
    <row r="4378" spans="1:3" x14ac:dyDescent="0.3">
      <c r="A4378" s="98" t="s">
        <v>257</v>
      </c>
      <c r="B4378" s="98">
        <v>2009</v>
      </c>
      <c r="C4378" s="98">
        <v>4.6399999999999997</v>
      </c>
    </row>
    <row r="4379" spans="1:3" x14ac:dyDescent="0.3">
      <c r="A4379" s="98" t="s">
        <v>257</v>
      </c>
      <c r="B4379" s="98">
        <v>2010</v>
      </c>
      <c r="C4379" s="98">
        <v>4.8</v>
      </c>
    </row>
    <row r="4380" spans="1:3" x14ac:dyDescent="0.3">
      <c r="A4380" s="98" t="s">
        <v>257</v>
      </c>
      <c r="B4380" s="98">
        <v>2011</v>
      </c>
      <c r="C4380" s="98">
        <v>5.12</v>
      </c>
    </row>
    <row r="4381" spans="1:3" x14ac:dyDescent="0.3">
      <c r="A4381" s="98" t="s">
        <v>257</v>
      </c>
      <c r="B4381" s="98">
        <v>2012</v>
      </c>
      <c r="C4381" s="98">
        <v>5.15</v>
      </c>
    </row>
    <row r="4382" spans="1:3" x14ac:dyDescent="0.3">
      <c r="A4382" s="98" t="s">
        <v>257</v>
      </c>
      <c r="B4382" s="98">
        <v>2013</v>
      </c>
      <c r="C4382" s="98">
        <v>5.51</v>
      </c>
    </row>
    <row r="4383" spans="1:3" x14ac:dyDescent="0.3">
      <c r="A4383" s="98" t="s">
        <v>257</v>
      </c>
      <c r="B4383" s="98">
        <v>2014</v>
      </c>
      <c r="C4383" s="98">
        <v>6.39</v>
      </c>
    </row>
    <row r="4384" spans="1:3" x14ac:dyDescent="0.3">
      <c r="A4384" s="98" t="s">
        <v>257</v>
      </c>
      <c r="B4384" s="98">
        <v>2015</v>
      </c>
      <c r="C4384" s="98">
        <v>10.98</v>
      </c>
    </row>
    <row r="4385" spans="1:3" x14ac:dyDescent="0.3">
      <c r="A4385" s="98" t="s">
        <v>257</v>
      </c>
      <c r="B4385" s="98">
        <v>2016</v>
      </c>
      <c r="C4385" s="98">
        <v>9.92</v>
      </c>
    </row>
    <row r="4386" spans="1:3" x14ac:dyDescent="0.3">
      <c r="A4386" s="98" t="s">
        <v>257</v>
      </c>
      <c r="B4386" s="98">
        <v>2017</v>
      </c>
      <c r="C4386" s="98">
        <v>9.92</v>
      </c>
    </row>
    <row r="4387" spans="1:3" x14ac:dyDescent="0.3">
      <c r="A4387" s="98" t="s">
        <v>257</v>
      </c>
      <c r="B4387" s="98">
        <v>2018</v>
      </c>
      <c r="C4387" s="98">
        <v>11.92</v>
      </c>
    </row>
    <row r="4388" spans="1:3" x14ac:dyDescent="0.3">
      <c r="A4388" s="98" t="s">
        <v>257</v>
      </c>
      <c r="B4388" s="98">
        <v>2019</v>
      </c>
      <c r="C4388" s="98">
        <v>14.11</v>
      </c>
    </row>
    <row r="4389" spans="1:3" x14ac:dyDescent="0.3">
      <c r="A4389" s="98" t="s">
        <v>257</v>
      </c>
      <c r="B4389" s="98">
        <v>2020</v>
      </c>
      <c r="C4389" s="98">
        <v>21.166</v>
      </c>
    </row>
    <row r="4390" spans="1:3" x14ac:dyDescent="0.3">
      <c r="A4390" s="98" t="s">
        <v>257</v>
      </c>
      <c r="B4390" s="98">
        <v>2021</v>
      </c>
      <c r="C4390" s="98">
        <v>16.673313</v>
      </c>
    </row>
    <row r="4391" spans="1:3" x14ac:dyDescent="0.3">
      <c r="A4391" s="98" t="s">
        <v>257</v>
      </c>
      <c r="B4391" s="98">
        <v>2022</v>
      </c>
      <c r="C4391" s="98">
        <v>18.083437</v>
      </c>
    </row>
    <row r="4392" spans="1:3" x14ac:dyDescent="0.3">
      <c r="A4392" s="98" t="s">
        <v>258</v>
      </c>
      <c r="B4392" s="98">
        <v>2001</v>
      </c>
      <c r="C4392" s="98">
        <v>5.7019260000000002E-2</v>
      </c>
    </row>
    <row r="4393" spans="1:3" x14ac:dyDescent="0.3">
      <c r="A4393" s="98" t="s">
        <v>258</v>
      </c>
      <c r="B4393" s="98">
        <v>2002</v>
      </c>
      <c r="C4393" s="98">
        <v>5.7019260000000002E-2</v>
      </c>
    </row>
    <row r="4394" spans="1:3" x14ac:dyDescent="0.3">
      <c r="A4394" s="98" t="s">
        <v>258</v>
      </c>
      <c r="B4394" s="98">
        <v>2003</v>
      </c>
      <c r="C4394" s="98">
        <v>0.85341020999999995</v>
      </c>
    </row>
    <row r="4395" spans="1:3" x14ac:dyDescent="0.3">
      <c r="A4395" s="98" t="s">
        <v>258</v>
      </c>
      <c r="B4395" s="98">
        <v>2004</v>
      </c>
      <c r="C4395" s="98">
        <v>5.9357528999999998</v>
      </c>
    </row>
    <row r="4396" spans="1:3" x14ac:dyDescent="0.3">
      <c r="A4396" s="98" t="s">
        <v>258</v>
      </c>
      <c r="B4396" s="98">
        <v>2005</v>
      </c>
      <c r="C4396" s="98">
        <v>80.774433999999999</v>
      </c>
    </row>
    <row r="4397" spans="1:3" x14ac:dyDescent="0.3">
      <c r="A4397" s="98" t="s">
        <v>258</v>
      </c>
      <c r="B4397" s="98">
        <v>2006</v>
      </c>
      <c r="C4397" s="98">
        <v>258.92</v>
      </c>
    </row>
    <row r="4398" spans="1:3" x14ac:dyDescent="0.3">
      <c r="A4398" s="98" t="s">
        <v>258</v>
      </c>
      <c r="B4398" s="98">
        <v>2007</v>
      </c>
      <c r="C4398" s="98">
        <v>30000</v>
      </c>
    </row>
    <row r="4399" spans="1:3" x14ac:dyDescent="0.3">
      <c r="A4399" s="98" t="s">
        <v>258</v>
      </c>
      <c r="B4399" s="98">
        <v>2008</v>
      </c>
      <c r="C4399" s="98">
        <v>4900000</v>
      </c>
    </row>
    <row r="4400" spans="1:3" x14ac:dyDescent="0.3">
      <c r="A4400" s="98" t="s">
        <v>258</v>
      </c>
      <c r="B4400" s="98">
        <v>2009</v>
      </c>
    </row>
    <row r="4401" spans="1:3" x14ac:dyDescent="0.3">
      <c r="A4401" s="98" t="s">
        <v>258</v>
      </c>
      <c r="B4401" s="98">
        <v>2010</v>
      </c>
    </row>
    <row r="4402" spans="1:3" x14ac:dyDescent="0.3">
      <c r="A4402" s="98" t="s">
        <v>258</v>
      </c>
      <c r="B4402" s="98">
        <v>2011</v>
      </c>
    </row>
    <row r="4403" spans="1:3" x14ac:dyDescent="0.3">
      <c r="A4403" s="98" t="s">
        <v>258</v>
      </c>
      <c r="B4403" s="98">
        <v>2012</v>
      </c>
    </row>
    <row r="4404" spans="1:3" x14ac:dyDescent="0.3">
      <c r="A4404" s="98" t="s">
        <v>258</v>
      </c>
      <c r="B4404" s="98">
        <v>2013</v>
      </c>
    </row>
    <row r="4405" spans="1:3" x14ac:dyDescent="0.3">
      <c r="A4405" s="98" t="s">
        <v>258</v>
      </c>
      <c r="B4405" s="98">
        <v>2014</v>
      </c>
    </row>
    <row r="4406" spans="1:3" x14ac:dyDescent="0.3">
      <c r="A4406" s="98" t="s">
        <v>258</v>
      </c>
      <c r="B4406" s="98">
        <v>2015</v>
      </c>
    </row>
    <row r="4407" spans="1:3" x14ac:dyDescent="0.3">
      <c r="A4407" s="98" t="s">
        <v>258</v>
      </c>
      <c r="B4407" s="98">
        <v>2016</v>
      </c>
    </row>
    <row r="4408" spans="1:3" x14ac:dyDescent="0.3">
      <c r="A4408" s="98" t="s">
        <v>258</v>
      </c>
      <c r="B4408" s="98">
        <v>2017</v>
      </c>
    </row>
    <row r="4409" spans="1:3" x14ac:dyDescent="0.3">
      <c r="A4409" s="98" t="s">
        <v>258</v>
      </c>
      <c r="B4409" s="98">
        <v>2018</v>
      </c>
    </row>
    <row r="4410" spans="1:3" x14ac:dyDescent="0.3">
      <c r="A4410" s="98" t="s">
        <v>258</v>
      </c>
      <c r="B4410" s="98">
        <v>2019</v>
      </c>
      <c r="C4410" s="98">
        <v>16.773399999999999</v>
      </c>
    </row>
    <row r="4411" spans="1:3" x14ac:dyDescent="0.3">
      <c r="A4411" s="98" t="s">
        <v>258</v>
      </c>
      <c r="B4411" s="98">
        <v>2020</v>
      </c>
      <c r="C4411" s="98">
        <v>81.786600000000007</v>
      </c>
    </row>
    <row r="4412" spans="1:3" x14ac:dyDescent="0.3">
      <c r="A4412" s="98" t="s">
        <v>258</v>
      </c>
      <c r="B4412" s="98">
        <v>2021</v>
      </c>
      <c r="C4412" s="98">
        <v>108.666</v>
      </c>
    </row>
    <row r="4413" spans="1:3" x14ac:dyDescent="0.3">
      <c r="A4413" s="98" t="s">
        <v>258</v>
      </c>
      <c r="B4413" s="98">
        <v>2022</v>
      </c>
      <c r="C4413" s="98">
        <v>684.33900000000006</v>
      </c>
    </row>
    <row r="4414" spans="1:3" x14ac:dyDescent="0.3">
      <c r="A4414" s="98" t="s">
        <v>127</v>
      </c>
      <c r="B4414" s="98">
        <v>2023</v>
      </c>
      <c r="C4414" s="98">
        <v>0.90497738000000005</v>
      </c>
    </row>
    <row r="4415" spans="1:3" x14ac:dyDescent="0.3">
      <c r="A4415" s="98" t="s">
        <v>153</v>
      </c>
      <c r="B4415" s="98">
        <v>2023</v>
      </c>
      <c r="C4415" s="98">
        <v>141.91</v>
      </c>
    </row>
    <row r="4416" spans="1:3" x14ac:dyDescent="0.3">
      <c r="A4416" s="98" t="s">
        <v>36</v>
      </c>
      <c r="B4416" s="98">
        <v>2023</v>
      </c>
      <c r="C4416" s="98">
        <v>10.17</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9C4BD-BBF2-4812-B271-6CC71587224E}">
  <dimension ref="A1:I25"/>
  <sheetViews>
    <sheetView showGridLines="0" tabSelected="1" view="pageLayout" topLeftCell="A4" zoomScale="80" zoomScaleNormal="100" zoomScalePageLayoutView="80" workbookViewId="0">
      <selection activeCell="E15" sqref="E15"/>
    </sheetView>
  </sheetViews>
  <sheetFormatPr baseColWidth="10" defaultColWidth="11.5546875" defaultRowHeight="14.4" x14ac:dyDescent="0.3"/>
  <cols>
    <col min="1" max="1" width="7.21875" customWidth="1"/>
    <col min="2" max="2" width="22.77734375" customWidth="1"/>
    <col min="3" max="3" width="23.88671875" style="3" customWidth="1"/>
    <col min="6" max="6" width="30.109375" customWidth="1"/>
    <col min="7" max="7" width="2.88671875" customWidth="1"/>
  </cols>
  <sheetData>
    <row r="1" spans="1:8" ht="14.4" customHeight="1" x14ac:dyDescent="0.3">
      <c r="A1" s="19" t="s">
        <v>0</v>
      </c>
      <c r="B1" s="15" t="s">
        <v>1</v>
      </c>
      <c r="C1" s="15" t="s">
        <v>259</v>
      </c>
    </row>
    <row r="2" spans="1:8" x14ac:dyDescent="0.3">
      <c r="A2" s="18">
        <v>2017</v>
      </c>
      <c r="B2" s="29">
        <v>1600000</v>
      </c>
      <c r="C2" s="20">
        <f>100081000000/1000000000/xrates!C1460</f>
        <v>120.02714303726059</v>
      </c>
    </row>
    <row r="3" spans="1:8" x14ac:dyDescent="0.3">
      <c r="A3" s="18">
        <v>2018</v>
      </c>
      <c r="B3" s="29">
        <v>2100000</v>
      </c>
      <c r="C3" s="20">
        <f>127914000000/1000000000/xrates!C1461</f>
        <v>146.46152923107698</v>
      </c>
    </row>
    <row r="4" spans="1:8" x14ac:dyDescent="0.3">
      <c r="A4" s="18">
        <v>2019</v>
      </c>
      <c r="B4" s="29">
        <v>1170000</v>
      </c>
      <c r="C4" s="20">
        <f>101996000000/1000000000/xrates!C1462</f>
        <v>114.58230600744101</v>
      </c>
    </row>
    <row r="5" spans="1:8" x14ac:dyDescent="0.3">
      <c r="A5" s="18">
        <v>2020</v>
      </c>
      <c r="B5" s="29">
        <v>1970000</v>
      </c>
      <c r="C5" s="20">
        <f>98099200000/1000000000/xrates!C1463</f>
        <v>120.37752811283026</v>
      </c>
    </row>
    <row r="6" spans="1:8" x14ac:dyDescent="0.3">
      <c r="A6" s="18">
        <v>2021</v>
      </c>
      <c r="B6" s="29">
        <v>1835000</v>
      </c>
      <c r="C6" s="20">
        <f>113753500000/1000000000/xrates!C1464</f>
        <v>128.83721338495349</v>
      </c>
    </row>
    <row r="7" spans="1:8" x14ac:dyDescent="0.3">
      <c r="A7" s="18">
        <v>2022</v>
      </c>
      <c r="B7" s="29">
        <v>2200000</v>
      </c>
      <c r="C7" s="20">
        <f>134611695000/1000000000/xrates!C1465</f>
        <v>143.57683349072792</v>
      </c>
    </row>
    <row r="10" spans="1:8" ht="70.2" customHeight="1" x14ac:dyDescent="0.3">
      <c r="A10" s="49" t="s">
        <v>39</v>
      </c>
      <c r="B10" s="163" t="s">
        <v>38</v>
      </c>
      <c r="C10" s="163"/>
      <c r="D10" s="163"/>
      <c r="E10" s="163"/>
      <c r="F10" s="163"/>
      <c r="G10" s="163"/>
      <c r="H10" s="163"/>
    </row>
    <row r="11" spans="1:8" x14ac:dyDescent="0.3">
      <c r="A11" t="s">
        <v>42</v>
      </c>
      <c r="B11" t="s">
        <v>44</v>
      </c>
    </row>
    <row r="18" spans="1:9" ht="23.4" x14ac:dyDescent="0.45">
      <c r="D18" s="164" t="s">
        <v>270</v>
      </c>
      <c r="E18" s="164"/>
    </row>
    <row r="20" spans="1:9" x14ac:dyDescent="0.3">
      <c r="A20" s="165"/>
      <c r="B20" s="161" t="s">
        <v>0</v>
      </c>
      <c r="C20" s="161" t="s">
        <v>1</v>
      </c>
      <c r="D20" s="166" t="s">
        <v>21</v>
      </c>
      <c r="E20" s="167"/>
      <c r="F20" s="161" t="s">
        <v>259</v>
      </c>
      <c r="G20" s="4"/>
      <c r="H20" s="4"/>
      <c r="I20" s="4"/>
    </row>
    <row r="21" spans="1:9" ht="28.8" x14ac:dyDescent="0.3">
      <c r="A21" s="165"/>
      <c r="B21" s="162"/>
      <c r="C21" s="162"/>
      <c r="D21" s="22" t="s">
        <v>30</v>
      </c>
      <c r="E21" s="23" t="s">
        <v>3</v>
      </c>
      <c r="F21" s="162"/>
      <c r="G21" s="8"/>
      <c r="H21" s="8"/>
      <c r="I21" s="8"/>
    </row>
    <row r="22" spans="1:9" x14ac:dyDescent="0.3">
      <c r="A22" s="155"/>
      <c r="B22" s="18">
        <v>2020</v>
      </c>
      <c r="C22" s="85">
        <v>705784</v>
      </c>
      <c r="D22" s="85">
        <v>462717</v>
      </c>
      <c r="E22" s="86">
        <v>2002</v>
      </c>
      <c r="F22" s="87">
        <f>848174489899/1000000000/xrates!C1133</f>
        <v>39.658413517510638</v>
      </c>
    </row>
    <row r="23" spans="1:9" x14ac:dyDescent="0.3">
      <c r="A23" s="155"/>
      <c r="B23" s="92"/>
      <c r="C23" s="95"/>
      <c r="D23" s="95"/>
      <c r="E23" s="92"/>
      <c r="F23" s="96"/>
    </row>
    <row r="24" spans="1:9" x14ac:dyDescent="0.3">
      <c r="C24"/>
    </row>
    <row r="25" spans="1:9" x14ac:dyDescent="0.3">
      <c r="A25" t="s">
        <v>42</v>
      </c>
      <c r="B25" t="s">
        <v>10</v>
      </c>
      <c r="C25"/>
    </row>
  </sheetData>
  <mergeCells count="7">
    <mergeCell ref="F20:F21"/>
    <mergeCell ref="B10:H10"/>
    <mergeCell ref="D18:E18"/>
    <mergeCell ref="A20:A21"/>
    <mergeCell ref="B20:B21"/>
    <mergeCell ref="C20:C21"/>
    <mergeCell ref="D20:E20"/>
  </mergeCells>
  <pageMargins left="0.7" right="0.7" top="0.75" bottom="0.75" header="0.3" footer="0.3"/>
  <pageSetup paperSize="9" orientation="landscape" r:id="rId1"/>
  <headerFooter>
    <oddHeader>&amp;C&amp;"-,Gras"&amp;18(CAN) Canada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98A78-F499-4E3D-8051-088F7F42F81B}">
  <dimension ref="A1:N18"/>
  <sheetViews>
    <sheetView showGridLines="0" view="pageLayout" zoomScale="70" zoomScaleNormal="100" zoomScalePageLayoutView="70" workbookViewId="0">
      <selection activeCell="B9" sqref="B9:H10"/>
    </sheetView>
  </sheetViews>
  <sheetFormatPr baseColWidth="10" defaultColWidth="11.5546875" defaultRowHeight="14.4" x14ac:dyDescent="0.3"/>
  <cols>
    <col min="1" max="1" width="8.77734375" customWidth="1"/>
    <col min="2" max="2" width="6.109375" customWidth="1"/>
    <col min="3" max="3" width="11.109375" customWidth="1"/>
    <col min="4" max="6" width="8.5546875" customWidth="1"/>
    <col min="7" max="7" width="11" customWidth="1"/>
    <col min="8" max="10" width="8.5546875" customWidth="1"/>
    <col min="11" max="12" width="10" customWidth="1"/>
  </cols>
  <sheetData>
    <row r="1" spans="1:14" ht="14.4" customHeight="1" x14ac:dyDescent="0.3">
      <c r="A1" s="168" t="s">
        <v>9</v>
      </c>
      <c r="B1" s="161" t="s">
        <v>0</v>
      </c>
      <c r="C1" s="166" t="s">
        <v>1</v>
      </c>
      <c r="D1" s="170"/>
      <c r="E1" s="170"/>
      <c r="F1" s="167"/>
      <c r="G1" s="168" t="s">
        <v>259</v>
      </c>
      <c r="H1" s="171"/>
      <c r="I1" s="171"/>
      <c r="J1" s="172"/>
      <c r="K1" s="166" t="s">
        <v>41</v>
      </c>
      <c r="L1" s="167"/>
      <c r="M1" s="6"/>
      <c r="N1" s="6"/>
    </row>
    <row r="2" spans="1:14" s="5" customFormat="1" ht="14.4" customHeight="1" x14ac:dyDescent="0.3">
      <c r="A2" s="169"/>
      <c r="B2" s="162"/>
      <c r="C2" s="102" t="s">
        <v>5</v>
      </c>
      <c r="D2" s="102" t="s">
        <v>12</v>
      </c>
      <c r="E2" s="102" t="s">
        <v>13</v>
      </c>
      <c r="F2" s="103" t="s">
        <v>14</v>
      </c>
      <c r="G2" s="102" t="s">
        <v>5</v>
      </c>
      <c r="H2" s="102" t="s">
        <v>12</v>
      </c>
      <c r="I2" s="102" t="s">
        <v>13</v>
      </c>
      <c r="J2" s="103" t="s">
        <v>14</v>
      </c>
      <c r="K2" s="104" t="s">
        <v>5</v>
      </c>
      <c r="L2" s="103" t="s">
        <v>15</v>
      </c>
    </row>
    <row r="3" spans="1:14" x14ac:dyDescent="0.3">
      <c r="A3" s="40" t="s">
        <v>8</v>
      </c>
      <c r="B3" s="173">
        <v>2017</v>
      </c>
      <c r="C3" s="44">
        <v>2803664</v>
      </c>
      <c r="D3" s="44">
        <v>11589</v>
      </c>
      <c r="E3" s="44">
        <v>28907</v>
      </c>
      <c r="F3" s="45">
        <v>9452</v>
      </c>
      <c r="G3" s="55">
        <f>55410526467/1000000000/xrates!C1460</f>
        <v>66.453844246405637</v>
      </c>
      <c r="H3" s="55">
        <f>8904375148/1000000000/xrates!C1460</f>
        <v>10.679017091620031</v>
      </c>
      <c r="I3" s="55">
        <f>31111625197/1000000000/xrates!C1460</f>
        <v>37.312172017085757</v>
      </c>
      <c r="J3" s="56">
        <f>16684568998/1000000000/xrates!C1460</f>
        <v>20.009803555499939</v>
      </c>
      <c r="K3" s="59">
        <v>0.64817603147863689</v>
      </c>
      <c r="L3" s="60">
        <v>0.22682640258486844</v>
      </c>
    </row>
    <row r="4" spans="1:14" x14ac:dyDescent="0.3">
      <c r="A4" s="41" t="s">
        <v>16</v>
      </c>
      <c r="B4" s="174"/>
      <c r="C4" s="35">
        <v>2548998</v>
      </c>
      <c r="D4" s="35">
        <v>12547</v>
      </c>
      <c r="E4" s="35">
        <v>21060</v>
      </c>
      <c r="F4" s="36">
        <v>7932</v>
      </c>
      <c r="G4" s="30">
        <f>299360833280/1000000000/xrates!C1460</f>
        <v>359.02344656680168</v>
      </c>
      <c r="H4" s="30">
        <f>27660818621/1000000000/xrates!C1460</f>
        <v>33.173619699548247</v>
      </c>
      <c r="I4" s="30">
        <f>19639901110/1000000000/xrates!C1460</f>
        <v>23.554133349663005</v>
      </c>
      <c r="J4" s="31">
        <f>23037144821/1000000000/xrates!C1460</f>
        <v>27.628447723346625</v>
      </c>
      <c r="K4" s="61">
        <v>0.87173483850384681</v>
      </c>
      <c r="L4" s="62">
        <v>0.36923671000128716</v>
      </c>
    </row>
    <row r="5" spans="1:14" x14ac:dyDescent="0.3">
      <c r="A5" s="40" t="s">
        <v>8</v>
      </c>
      <c r="B5" s="173">
        <v>2018</v>
      </c>
      <c r="C5" s="44">
        <v>3386951</v>
      </c>
      <c r="D5" s="44">
        <v>12965</v>
      </c>
      <c r="E5" s="44">
        <v>29023</v>
      </c>
      <c r="F5" s="45">
        <v>8943</v>
      </c>
      <c r="G5" s="55">
        <f>50940056061/1000000000/xrates!C1461</f>
        <v>58.326363883631586</v>
      </c>
      <c r="H5" s="55">
        <f>11783575337/1000000000/xrates!C1461</f>
        <v>13.492193690030984</v>
      </c>
      <c r="I5" s="55">
        <f>49050064466/1000000000/xrates!C1461</f>
        <v>56.162323518717805</v>
      </c>
      <c r="J5" s="56">
        <f>16026396986/1000000000/xrates!C1461</f>
        <v>18.350224452631323</v>
      </c>
      <c r="K5" s="59">
        <v>0.65392069795305163</v>
      </c>
      <c r="L5" s="60">
        <v>0.24814501169449149</v>
      </c>
    </row>
    <row r="6" spans="1:14" x14ac:dyDescent="0.3">
      <c r="A6" s="42" t="s">
        <v>16</v>
      </c>
      <c r="B6" s="175"/>
      <c r="C6" s="37">
        <v>3267556</v>
      </c>
      <c r="D6" s="37">
        <v>22039</v>
      </c>
      <c r="E6" s="37">
        <v>30848</v>
      </c>
      <c r="F6" s="38">
        <v>10870</v>
      </c>
      <c r="G6" s="32">
        <f>205528782311/1000000000/xrates!C1461</f>
        <v>235.33045451061008</v>
      </c>
      <c r="H6" s="32">
        <f>42912856555/1000000000/xrates!C1461</f>
        <v>49.135220497515085</v>
      </c>
      <c r="I6" s="32">
        <f>27009809599/1000000000/xrates!C1461</f>
        <v>30.926231828492284</v>
      </c>
      <c r="J6" s="33">
        <f>56184776128/1000000000/xrates!C1461</f>
        <v>64.331568328819273</v>
      </c>
      <c r="K6" s="63">
        <v>0.87164461572456409</v>
      </c>
      <c r="L6" s="64">
        <v>0.35876517097245303</v>
      </c>
    </row>
    <row r="7" spans="1:14" x14ac:dyDescent="0.3">
      <c r="A7" s="41" t="s">
        <v>8</v>
      </c>
      <c r="B7" s="174">
        <v>2019</v>
      </c>
      <c r="C7" s="35">
        <v>6024125</v>
      </c>
      <c r="D7" s="35">
        <v>18474</v>
      </c>
      <c r="E7" s="35">
        <v>32308</v>
      </c>
      <c r="F7" s="36">
        <v>8640</v>
      </c>
      <c r="G7" s="30">
        <f>69703632118/1000000000/xrates!C1462</f>
        <v>78.30506005308807</v>
      </c>
      <c r="H7" s="30">
        <f>13790575412/1000000000/xrates!C1462</f>
        <v>15.492332364764069</v>
      </c>
      <c r="I7" s="30">
        <f>26678064435/1000000000/xrates!C1462</f>
        <v>29.970137483601306</v>
      </c>
      <c r="J7" s="31">
        <f>20974801281/1000000000/xrates!C1462</f>
        <v>23.563091678348247</v>
      </c>
      <c r="K7" s="61">
        <v>0.64150718764559</v>
      </c>
      <c r="L7" s="62">
        <v>0.26412394003363271</v>
      </c>
    </row>
    <row r="8" spans="1:14" x14ac:dyDescent="0.3">
      <c r="A8" s="41" t="s">
        <v>16</v>
      </c>
      <c r="B8" s="174"/>
      <c r="C8" s="35">
        <v>3273611</v>
      </c>
      <c r="D8" s="35">
        <v>27115</v>
      </c>
      <c r="E8" s="35">
        <v>30988</v>
      </c>
      <c r="F8" s="36">
        <v>11850</v>
      </c>
      <c r="G8" s="30">
        <f>224779516787/1000000000/xrates!C1462</f>
        <v>252.51730829339149</v>
      </c>
      <c r="H8" s="30">
        <f>56412300315/1000000000/xrates!C1462</f>
        <v>63.373577956753124</v>
      </c>
      <c r="I8" s="30">
        <f>27381382570/1000000000/xrates!C1462</f>
        <v>30.760245073753399</v>
      </c>
      <c r="J8" s="31">
        <f>43141977116/1000000000/xrates!C1462</f>
        <v>48.465696926070919</v>
      </c>
      <c r="K8" s="61">
        <v>0.88192860356509217</v>
      </c>
      <c r="L8" s="62">
        <v>0.40334985197580125</v>
      </c>
    </row>
    <row r="9" spans="1:14" x14ac:dyDescent="0.3">
      <c r="A9" s="40" t="s">
        <v>8</v>
      </c>
      <c r="B9" s="173">
        <v>2020</v>
      </c>
      <c r="C9" s="44">
        <v>6539551</v>
      </c>
      <c r="D9" s="44">
        <v>23225</v>
      </c>
      <c r="E9" s="44">
        <v>31714</v>
      </c>
      <c r="F9" s="45">
        <v>9149</v>
      </c>
      <c r="G9" s="55">
        <f>65012819551/1000000000/xrates!C1463</f>
        <v>79.777230733735493</v>
      </c>
      <c r="H9" s="55">
        <f>15816306096/1000000000/xrates!C1463</f>
        <v>19.408189177000107</v>
      </c>
      <c r="I9" s="55">
        <f>107056899036/1000000000/xrates!C1463</f>
        <v>131.36952058098865</v>
      </c>
      <c r="J9" s="56">
        <f>19114159286/1000000000/xrates!C1463</f>
        <v>23.454984819484569</v>
      </c>
      <c r="K9" s="59">
        <v>0.6588739371787089</v>
      </c>
      <c r="L9" s="60">
        <v>0.24161584048931353</v>
      </c>
    </row>
    <row r="10" spans="1:14" x14ac:dyDescent="0.3">
      <c r="A10" s="42" t="s">
        <v>16</v>
      </c>
      <c r="B10" s="175"/>
      <c r="C10" s="37">
        <v>3311104</v>
      </c>
      <c r="D10" s="37">
        <v>31393</v>
      </c>
      <c r="E10" s="37">
        <v>31641</v>
      </c>
      <c r="F10" s="38">
        <v>13447</v>
      </c>
      <c r="G10" s="32">
        <f>242246318700/1000000000/xrates!C1463</f>
        <v>297.26045716518473</v>
      </c>
      <c r="H10" s="32">
        <f>82368585600/1000000000/xrates!C1463</f>
        <v>101.0744912158108</v>
      </c>
      <c r="I10" s="32">
        <f>35840397241/1000000000/xrates!C1463</f>
        <v>43.979751378741945</v>
      </c>
      <c r="J10" s="33">
        <f>54322125637/1000000000/xrates!C1463</f>
        <v>66.658680254443112</v>
      </c>
      <c r="K10" s="63">
        <v>0.87481707510658013</v>
      </c>
      <c r="L10" s="64">
        <v>0.39582749723553262</v>
      </c>
    </row>
    <row r="11" spans="1:14" x14ac:dyDescent="0.3">
      <c r="A11" s="41" t="s">
        <v>8</v>
      </c>
      <c r="B11" s="174">
        <v>2021</v>
      </c>
      <c r="C11" s="35">
        <v>7279979</v>
      </c>
      <c r="D11" s="35">
        <v>25392</v>
      </c>
      <c r="E11" s="35">
        <v>35858</v>
      </c>
      <c r="F11" s="36">
        <v>7279</v>
      </c>
      <c r="G11" s="30">
        <f>78873208020/1000000000/xrates!C1464</f>
        <v>89.331794907660552</v>
      </c>
      <c r="H11" s="30">
        <f>15814469206/1000000000/xrates!C1464</f>
        <v>17.911467723306956</v>
      </c>
      <c r="I11" s="30">
        <f>63131224464/1000000000/xrates!C1464</f>
        <v>71.502424431087945</v>
      </c>
      <c r="J11" s="31">
        <f>7288327209/1000000000/xrates!C1464</f>
        <v>8.2547593510994854</v>
      </c>
      <c r="K11" s="61">
        <v>0.72352141186267049</v>
      </c>
      <c r="L11" s="62">
        <v>0.3683267280568831</v>
      </c>
    </row>
    <row r="12" spans="1:14" x14ac:dyDescent="0.3">
      <c r="A12" s="41" t="s">
        <v>16</v>
      </c>
      <c r="B12" s="174"/>
      <c r="C12" s="35">
        <v>3657407</v>
      </c>
      <c r="D12" s="35">
        <v>36568</v>
      </c>
      <c r="E12" s="35">
        <v>31401</v>
      </c>
      <c r="F12" s="36">
        <v>16042</v>
      </c>
      <c r="G12" s="30">
        <f>260600066847/1000000000/xrates!C1464</f>
        <v>295.15563407279842</v>
      </c>
      <c r="H12" s="30">
        <f>104184362478/1000000000/xrates!C1464</f>
        <v>117.9992082876872</v>
      </c>
      <c r="I12" s="30">
        <f>55644547393/1000000000/xrates!C1464</f>
        <v>63.023014027534082</v>
      </c>
      <c r="J12" s="31">
        <f>67409790690/1000000000/xrates!C1464</f>
        <v>76.348328511760769</v>
      </c>
      <c r="K12" s="61">
        <v>0.95050806309974079</v>
      </c>
      <c r="L12" s="62">
        <v>0.52038326275748226</v>
      </c>
    </row>
    <row r="13" spans="1:14" x14ac:dyDescent="0.3">
      <c r="A13" s="40" t="s">
        <v>8</v>
      </c>
      <c r="B13" s="173">
        <v>2022</v>
      </c>
      <c r="C13" s="44">
        <v>7970225</v>
      </c>
      <c r="D13" s="44">
        <v>30438</v>
      </c>
      <c r="E13" s="44">
        <v>44445</v>
      </c>
      <c r="F13" s="45">
        <v>26521</v>
      </c>
      <c r="G13" s="55">
        <f>86915762889/1000000000/xrates!C1465</f>
        <v>92.704352441543392</v>
      </c>
      <c r="H13" s="55">
        <f>19915912190/1000000000/xrates!C1465</f>
        <v>21.24231188322522</v>
      </c>
      <c r="I13" s="55">
        <f>84120194031/1000000000/xrates!C1465</f>
        <v>89.722598705830222</v>
      </c>
      <c r="J13" s="56">
        <f>10256327030/1000000000/xrates!C1465</f>
        <v>10.93939838000526</v>
      </c>
      <c r="K13" s="59">
        <v>0.78204828715152874</v>
      </c>
      <c r="L13" s="60">
        <v>0.28294297855519318</v>
      </c>
    </row>
    <row r="14" spans="1:14" x14ac:dyDescent="0.3">
      <c r="A14" s="42" t="s">
        <v>16</v>
      </c>
      <c r="B14" s="175"/>
      <c r="C14" s="37">
        <v>3703013</v>
      </c>
      <c r="D14" s="37">
        <v>39974</v>
      </c>
      <c r="E14" s="37">
        <v>128433</v>
      </c>
      <c r="F14" s="38">
        <v>17308</v>
      </c>
      <c r="G14" s="32">
        <f>291746697213/1000000000/xrates!C1465</f>
        <v>311.17702638853723</v>
      </c>
      <c r="H14" s="32">
        <f>128131794538/1000000000/xrates!C1465</f>
        <v>136.66537167703439</v>
      </c>
      <c r="I14" s="32">
        <f>59525758446/1000000000/xrates!C1465</f>
        <v>63.49017378327072</v>
      </c>
      <c r="J14" s="33">
        <f>70368109099/1000000000/xrates!C1465</f>
        <v>75.054624957842634</v>
      </c>
      <c r="K14" s="63">
        <v>0.94722955002618026</v>
      </c>
      <c r="L14" s="64">
        <v>0.45430363729370271</v>
      </c>
    </row>
    <row r="15" spans="1:14" x14ac:dyDescent="0.3">
      <c r="A15" s="101"/>
      <c r="B15" s="101"/>
      <c r="C15" s="35"/>
      <c r="D15" s="35"/>
      <c r="E15" s="35"/>
      <c r="F15" s="35"/>
      <c r="G15" s="34"/>
      <c r="H15" s="34"/>
      <c r="I15" s="34"/>
      <c r="J15" s="34"/>
      <c r="K15" s="46"/>
      <c r="L15" s="46"/>
    </row>
    <row r="17" spans="1:13" ht="75" customHeight="1" x14ac:dyDescent="0.3">
      <c r="A17" s="1" t="s">
        <v>39</v>
      </c>
      <c r="B17" s="163" t="s">
        <v>263</v>
      </c>
      <c r="C17" s="163"/>
      <c r="D17" s="163"/>
      <c r="E17" s="163"/>
      <c r="F17" s="163"/>
      <c r="G17" s="163"/>
      <c r="H17" s="163"/>
      <c r="I17" s="163"/>
      <c r="J17" s="163"/>
      <c r="K17" s="163"/>
      <c r="L17" s="163"/>
      <c r="M17" s="163"/>
    </row>
    <row r="18" spans="1:13" ht="30" customHeight="1" x14ac:dyDescent="0.3">
      <c r="A18" s="1" t="s">
        <v>42</v>
      </c>
      <c r="B18" s="163" t="s">
        <v>267</v>
      </c>
      <c r="C18" s="163"/>
      <c r="D18" s="163"/>
      <c r="E18" s="163"/>
      <c r="F18" s="163"/>
      <c r="G18" s="163"/>
      <c r="H18" s="163"/>
      <c r="I18" s="163"/>
      <c r="J18" s="163"/>
      <c r="K18" s="163"/>
      <c r="L18" s="163"/>
      <c r="M18" s="163"/>
    </row>
  </sheetData>
  <mergeCells count="13">
    <mergeCell ref="B18:M18"/>
    <mergeCell ref="B17:M17"/>
    <mergeCell ref="A1:A2"/>
    <mergeCell ref="B1:B2"/>
    <mergeCell ref="C1:F1"/>
    <mergeCell ref="G1:J1"/>
    <mergeCell ref="K1:L1"/>
    <mergeCell ref="B3:B4"/>
    <mergeCell ref="B5:B6"/>
    <mergeCell ref="B7:B8"/>
    <mergeCell ref="B9:B10"/>
    <mergeCell ref="B11:B12"/>
    <mergeCell ref="B13:B14"/>
  </mergeCells>
  <pageMargins left="0.7" right="0.7" top="0.75" bottom="0.75" header="0.3" footer="0.3"/>
  <pageSetup paperSize="9" orientation="landscape" r:id="rId1"/>
  <headerFooter>
    <oddHeader>&amp;C&amp;"-,Gras"&amp;18(DEU) Germany</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A48A1-99D8-448F-B590-7F775678122C}">
  <dimension ref="A1:X25"/>
  <sheetViews>
    <sheetView showGridLines="0" view="pageLayout" zoomScaleNormal="100" workbookViewId="0">
      <selection activeCell="B9" sqref="B9:H10"/>
    </sheetView>
  </sheetViews>
  <sheetFormatPr baseColWidth="10" defaultColWidth="11.5546875" defaultRowHeight="14.4" x14ac:dyDescent="0.3"/>
  <cols>
    <col min="1" max="1" width="8.21875" style="10" customWidth="1"/>
    <col min="2" max="2" width="5.109375" style="10" customWidth="1"/>
    <col min="3" max="3" width="10" style="10" customWidth="1"/>
    <col min="4" max="4" width="7.77734375" style="10" customWidth="1"/>
    <col min="5" max="5" width="9.33203125" style="10" customWidth="1"/>
    <col min="6" max="6" width="7" style="10" customWidth="1"/>
    <col min="7" max="7" width="5.44140625" style="10" customWidth="1"/>
    <col min="8" max="8" width="9.77734375" style="10" customWidth="1"/>
    <col min="9" max="9" width="7.77734375" style="10" customWidth="1"/>
    <col min="10" max="10" width="6.88671875" style="10" customWidth="1"/>
    <col min="11" max="11" width="7" style="10" customWidth="1"/>
    <col min="12" max="12" width="9.6640625" style="10" customWidth="1"/>
    <col min="13" max="13" width="6.21875" style="10" customWidth="1"/>
    <col min="14" max="14" width="5.5546875" style="10" customWidth="1"/>
    <col min="15" max="15" width="9" style="10" customWidth="1"/>
    <col min="16" max="17" width="7.109375" style="10" customWidth="1"/>
    <col min="18" max="18" width="13" style="10" bestFit="1" customWidth="1"/>
    <col min="19" max="16384" width="11.5546875" style="10"/>
  </cols>
  <sheetData>
    <row r="1" spans="1:17" s="49" customFormat="1" ht="32.4" customHeight="1" x14ac:dyDescent="0.3">
      <c r="A1" s="163" t="s">
        <v>54</v>
      </c>
      <c r="B1" s="163"/>
      <c r="C1" s="163"/>
      <c r="D1" s="163"/>
      <c r="E1" s="163"/>
      <c r="F1" s="163"/>
      <c r="G1" s="163"/>
      <c r="H1" s="163"/>
      <c r="I1" s="163"/>
      <c r="J1" s="163"/>
      <c r="K1" s="163"/>
      <c r="L1" s="163"/>
      <c r="M1" s="163"/>
      <c r="N1" s="163"/>
      <c r="O1" s="163"/>
      <c r="P1" s="163"/>
      <c r="Q1" s="163"/>
    </row>
    <row r="2" spans="1:17" ht="14.4" customHeight="1" x14ac:dyDescent="0.3">
      <c r="A2" s="161" t="s">
        <v>9</v>
      </c>
      <c r="B2" s="161" t="s">
        <v>0</v>
      </c>
      <c r="C2" s="161" t="s">
        <v>1</v>
      </c>
      <c r="D2" s="168" t="s">
        <v>21</v>
      </c>
      <c r="E2" s="171"/>
      <c r="F2" s="171"/>
      <c r="G2" s="171"/>
      <c r="H2" s="171"/>
      <c r="I2" s="171"/>
      <c r="J2" s="171"/>
      <c r="K2" s="168" t="s">
        <v>259</v>
      </c>
      <c r="L2" s="171"/>
      <c r="M2" s="171"/>
      <c r="N2" s="171"/>
      <c r="O2" s="171"/>
      <c r="P2" s="171"/>
      <c r="Q2" s="172"/>
    </row>
    <row r="3" spans="1:17" x14ac:dyDescent="0.3">
      <c r="A3" s="180"/>
      <c r="B3" s="180"/>
      <c r="C3" s="180"/>
      <c r="D3" s="181" t="s">
        <v>11</v>
      </c>
      <c r="E3" s="178" t="s">
        <v>5</v>
      </c>
      <c r="F3" s="176" t="s">
        <v>15</v>
      </c>
      <c r="G3" s="176"/>
      <c r="H3" s="176"/>
      <c r="I3" s="176"/>
      <c r="J3" s="176"/>
      <c r="K3" s="13" t="s">
        <v>11</v>
      </c>
      <c r="L3" s="12" t="s">
        <v>5</v>
      </c>
      <c r="M3" s="176" t="s">
        <v>15</v>
      </c>
      <c r="N3" s="176"/>
      <c r="O3" s="176"/>
      <c r="P3" s="176"/>
      <c r="Q3" s="177"/>
    </row>
    <row r="4" spans="1:17" x14ac:dyDescent="0.3">
      <c r="A4" s="180"/>
      <c r="B4" s="180"/>
      <c r="C4" s="180"/>
      <c r="D4" s="181"/>
      <c r="E4" s="178"/>
      <c r="F4" s="12" t="s">
        <v>11</v>
      </c>
      <c r="G4" s="178" t="s">
        <v>12</v>
      </c>
      <c r="H4" s="178"/>
      <c r="I4" s="178" t="s">
        <v>13</v>
      </c>
      <c r="J4" s="184" t="s">
        <v>14</v>
      </c>
      <c r="K4" s="13"/>
      <c r="L4" s="12"/>
      <c r="M4" s="12" t="s">
        <v>11</v>
      </c>
      <c r="N4" s="178" t="s">
        <v>12</v>
      </c>
      <c r="O4" s="178"/>
      <c r="P4" s="178" t="s">
        <v>13</v>
      </c>
      <c r="Q4" s="184" t="s">
        <v>14</v>
      </c>
    </row>
    <row r="5" spans="1:17" ht="48" x14ac:dyDescent="0.3">
      <c r="A5" s="162"/>
      <c r="B5" s="162"/>
      <c r="C5" s="162"/>
      <c r="D5" s="182"/>
      <c r="E5" s="183"/>
      <c r="F5" s="39"/>
      <c r="G5" s="57" t="s">
        <v>11</v>
      </c>
      <c r="H5" s="57" t="s">
        <v>17</v>
      </c>
      <c r="I5" s="183"/>
      <c r="J5" s="185"/>
      <c r="K5" s="22"/>
      <c r="L5" s="39"/>
      <c r="M5" s="39"/>
      <c r="N5" s="57" t="s">
        <v>11</v>
      </c>
      <c r="O5" s="57" t="s">
        <v>17</v>
      </c>
      <c r="P5" s="183"/>
      <c r="Q5" s="185"/>
    </row>
    <row r="6" spans="1:17" x14ac:dyDescent="0.3">
      <c r="A6" s="40" t="s">
        <v>19</v>
      </c>
      <c r="B6" s="173">
        <v>2019</v>
      </c>
      <c r="C6" s="43">
        <f>C7+C8</f>
        <v>671676</v>
      </c>
      <c r="D6" s="40"/>
      <c r="E6" s="54"/>
      <c r="F6" s="54"/>
      <c r="G6" s="54"/>
      <c r="H6" s="54"/>
      <c r="I6" s="54"/>
      <c r="J6" s="65"/>
      <c r="K6" s="55">
        <f>334.724336568/xrates!C1176</f>
        <v>50.13920768255965</v>
      </c>
      <c r="L6" s="55">
        <f>77.8369256/xrates!C1176</f>
        <v>11.659390584041102</v>
      </c>
      <c r="M6" s="55">
        <f>256.938322217/xrates!C1176</f>
        <v>38.487443223685197</v>
      </c>
      <c r="N6" s="55">
        <f>126.559706063/xrates!C1176</f>
        <v>18.957699495648523</v>
      </c>
      <c r="O6" s="55">
        <f>46.1386495402/xrates!C1176</f>
        <v>6.9112253838733348</v>
      </c>
      <c r="P6" s="55">
        <f>70.09868199/xrates!C1176</f>
        <v>10.500259439176739</v>
      </c>
      <c r="Q6" s="56">
        <f>60.2799341637/xrates!C1176</f>
        <v>9.0294842888149898</v>
      </c>
    </row>
    <row r="7" spans="1:17" x14ac:dyDescent="0.3">
      <c r="A7" s="41" t="s">
        <v>16</v>
      </c>
      <c r="B7" s="174"/>
      <c r="C7" s="25">
        <v>60135</v>
      </c>
      <c r="D7" s="25">
        <v>34679</v>
      </c>
      <c r="E7" s="35">
        <v>32739</v>
      </c>
      <c r="F7" s="35">
        <v>1940</v>
      </c>
      <c r="G7" s="35">
        <v>1216</v>
      </c>
      <c r="H7" s="35">
        <v>860</v>
      </c>
      <c r="I7" s="35">
        <v>497</v>
      </c>
      <c r="J7" s="36">
        <v>796</v>
      </c>
      <c r="K7" s="30">
        <f>149.832331644/xrates!C1176</f>
        <v>22.443765131892327</v>
      </c>
      <c r="L7" s="30">
        <f>27.374719462/xrates!C1176</f>
        <v>4.1005286870684099</v>
      </c>
      <c r="M7" s="30">
        <f>122.188970689/xrates!C1176</f>
        <v>18.302995953953772</v>
      </c>
      <c r="N7" s="30">
        <f>99.997424973/xrates!C1176</f>
        <v>14.978868013750953</v>
      </c>
      <c r="O7" s="30">
        <f>38.842682723/xrates!C1176</f>
        <v>5.8183440020072199</v>
      </c>
      <c r="P7" s="30">
        <f>13.692956571/xrates!C1176</f>
        <v>2.0511027083988673</v>
      </c>
      <c r="Q7" s="31">
        <f>8.4985891447/xrates!C1176</f>
        <v>1.2730252317590138</v>
      </c>
    </row>
    <row r="8" spans="1:17" x14ac:dyDescent="0.3">
      <c r="A8" s="42" t="s">
        <v>18</v>
      </c>
      <c r="B8" s="175"/>
      <c r="C8" s="28">
        <v>611541</v>
      </c>
      <c r="D8" s="28">
        <v>319433</v>
      </c>
      <c r="E8" s="37">
        <v>311864</v>
      </c>
      <c r="F8" s="37">
        <v>7571</v>
      </c>
      <c r="G8" s="37">
        <v>1687</v>
      </c>
      <c r="H8" s="37">
        <v>913</v>
      </c>
      <c r="I8" s="37">
        <v>4626</v>
      </c>
      <c r="J8" s="38">
        <v>1458</v>
      </c>
      <c r="K8" s="32">
        <f>184.892004924/xrates!C1176</f>
        <v>27.695442550667323</v>
      </c>
      <c r="L8" s="99">
        <f>50.462206138/xrates!C1176</f>
        <v>7.558861896972692</v>
      </c>
      <c r="M8" s="32">
        <f>134.749351528/xrates!C1176</f>
        <v>20.184447269731422</v>
      </c>
      <c r="N8" s="32">
        <f>26.56228109/xrates!C1176</f>
        <v>3.9788314818975716</v>
      </c>
      <c r="O8" s="32">
        <f>7.2959668172/xrates!C1176</f>
        <v>1.0928813818661154</v>
      </c>
      <c r="P8" s="32">
        <f>56.405725419/xrates!C1176</f>
        <v>8.4491567307778723</v>
      </c>
      <c r="Q8" s="33">
        <f>51.781345019/xrates!C1176</f>
        <v>7.7564590570559773</v>
      </c>
    </row>
    <row r="9" spans="1:17" x14ac:dyDescent="0.3">
      <c r="A9" s="40" t="s">
        <v>19</v>
      </c>
      <c r="B9" s="173">
        <v>2022</v>
      </c>
      <c r="C9" s="43">
        <f>C10+C11</f>
        <v>1125764</v>
      </c>
      <c r="D9" s="43"/>
      <c r="E9" s="44"/>
      <c r="F9" s="44"/>
      <c r="G9" s="44"/>
      <c r="H9" s="44"/>
      <c r="I9" s="44"/>
      <c r="J9" s="45"/>
      <c r="K9" s="55">
        <f>445.023327936/xrates!C1179</f>
        <v>63.828250471300308</v>
      </c>
      <c r="L9" s="55">
        <f>81.857262939/xrates!C1179</f>
        <v>11.740521347494333</v>
      </c>
      <c r="M9" s="55">
        <f>359.027986499/xrates!C1179</f>
        <v>51.494217965491522</v>
      </c>
      <c r="N9" s="55">
        <f>255.114391869/xrates!C1179</f>
        <v>36.590228603453717</v>
      </c>
      <c r="O9" s="55">
        <f>76.169682912/xrates!C1179</f>
        <v>10.924770217721809</v>
      </c>
      <c r="P9" s="55">
        <f>79.736852422/xrates!C1179</f>
        <v>11.436397754223918</v>
      </c>
      <c r="Q9" s="56">
        <f>24.176742207/xrates!C1179</f>
        <v>3.4675916076704629</v>
      </c>
    </row>
    <row r="10" spans="1:17" x14ac:dyDescent="0.3">
      <c r="A10" s="41" t="s">
        <v>16</v>
      </c>
      <c r="B10" s="174"/>
      <c r="C10" s="25">
        <v>114726</v>
      </c>
      <c r="D10" s="25">
        <v>78977</v>
      </c>
      <c r="E10" s="35">
        <v>76438</v>
      </c>
      <c r="F10" s="35">
        <v>2543</v>
      </c>
      <c r="G10" s="35">
        <v>1782</v>
      </c>
      <c r="H10" s="35">
        <v>1338</v>
      </c>
      <c r="I10" s="35">
        <v>545</v>
      </c>
      <c r="J10" s="36">
        <v>1118</v>
      </c>
      <c r="K10" s="30">
        <f>283.890923009/xrates!C1179</f>
        <v>40.717552997475693</v>
      </c>
      <c r="L10" s="30">
        <f>30.802904785/xrates!C1179</f>
        <v>4.4179605841771608</v>
      </c>
      <c r="M10" s="30">
        <f>248.919933257/xrates!C1179</f>
        <v>35.701777524597688</v>
      </c>
      <c r="N10" s="30">
        <f>217.118942255/xrates!C1179</f>
        <v>31.140664676142396</v>
      </c>
      <c r="O10" s="30">
        <f>55.874306672/xrates!C1179</f>
        <v>8.0138703238576063</v>
      </c>
      <c r="P10" s="30">
        <f>19.679107419/xrates!C1179</f>
        <v>2.822510458535326</v>
      </c>
      <c r="Q10" s="31">
        <f>12.121883583/xrates!C1179</f>
        <v>1.7386023899199681</v>
      </c>
    </row>
    <row r="11" spans="1:17" x14ac:dyDescent="0.3">
      <c r="A11" s="42" t="s">
        <v>18</v>
      </c>
      <c r="B11" s="175"/>
      <c r="C11" s="28">
        <v>1011038</v>
      </c>
      <c r="D11" s="28">
        <v>475800</v>
      </c>
      <c r="E11" s="37">
        <v>461290</v>
      </c>
      <c r="F11" s="37">
        <v>14525</v>
      </c>
      <c r="G11" s="37">
        <v>2737</v>
      </c>
      <c r="H11" s="37">
        <v>1360</v>
      </c>
      <c r="I11" s="37">
        <v>11232</v>
      </c>
      <c r="J11" s="38">
        <v>1261</v>
      </c>
      <c r="K11" s="32">
        <f>161.132404927/xrates!C1179</f>
        <v>23.110697473824619</v>
      </c>
      <c r="L11" s="32">
        <f>51.054358154/xrates!C1179</f>
        <v>7.3225607633171741</v>
      </c>
      <c r="M11" s="32">
        <f>110.108053242/xrates!C1179</f>
        <v>15.792440440893834</v>
      </c>
      <c r="N11" s="32">
        <f>37.995449614/xrates!C1179</f>
        <v>5.4495639273113223</v>
      </c>
      <c r="O11" s="32">
        <f>20.29537624/xrates!C1179</f>
        <v>2.9108998938642037</v>
      </c>
      <c r="P11" s="32">
        <f>60.057745003/xrates!C1179</f>
        <v>8.6138872956885919</v>
      </c>
      <c r="Q11" s="33">
        <f>12.054858624/xrates!C1179</f>
        <v>1.7289892177504949</v>
      </c>
    </row>
    <row r="12" spans="1:17" x14ac:dyDescent="0.3">
      <c r="K12" s="30"/>
      <c r="L12" s="48"/>
      <c r="M12" s="47"/>
      <c r="N12" s="30"/>
      <c r="O12" s="30"/>
      <c r="P12" s="30"/>
      <c r="Q12" s="30"/>
    </row>
    <row r="13" spans="1:17" s="49" customFormat="1" x14ac:dyDescent="0.3">
      <c r="A13" s="49" t="s">
        <v>55</v>
      </c>
    </row>
    <row r="14" spans="1:17" ht="14.4" customHeight="1" x14ac:dyDescent="0.3">
      <c r="A14" s="161" t="s">
        <v>9</v>
      </c>
      <c r="B14" s="161" t="s">
        <v>0</v>
      </c>
      <c r="C14" s="161" t="s">
        <v>1</v>
      </c>
      <c r="D14" s="168" t="s">
        <v>21</v>
      </c>
      <c r="E14" s="171"/>
      <c r="F14" s="171"/>
      <c r="G14" s="171"/>
      <c r="H14" s="171"/>
      <c r="I14" s="171"/>
      <c r="J14" s="171"/>
      <c r="K14" s="168" t="s">
        <v>259</v>
      </c>
      <c r="L14" s="171"/>
      <c r="M14" s="171"/>
      <c r="N14" s="171"/>
      <c r="O14" s="171"/>
      <c r="P14" s="171"/>
      <c r="Q14" s="172"/>
    </row>
    <row r="15" spans="1:17" x14ac:dyDescent="0.3">
      <c r="A15" s="180"/>
      <c r="B15" s="180"/>
      <c r="C15" s="180"/>
      <c r="D15" s="181" t="s">
        <v>11</v>
      </c>
      <c r="E15" s="178" t="s">
        <v>5</v>
      </c>
      <c r="F15" s="176" t="s">
        <v>15</v>
      </c>
      <c r="G15" s="176"/>
      <c r="H15" s="176"/>
      <c r="I15" s="176"/>
      <c r="J15" s="176"/>
      <c r="K15" s="13" t="s">
        <v>11</v>
      </c>
      <c r="L15" s="12" t="s">
        <v>5</v>
      </c>
      <c r="M15" s="176" t="s">
        <v>15</v>
      </c>
      <c r="N15" s="176"/>
      <c r="O15" s="176"/>
      <c r="P15" s="176"/>
      <c r="Q15" s="177"/>
    </row>
    <row r="16" spans="1:17" x14ac:dyDescent="0.3">
      <c r="A16" s="180"/>
      <c r="B16" s="180"/>
      <c r="C16" s="180"/>
      <c r="D16" s="181"/>
      <c r="E16" s="178"/>
      <c r="F16" s="12" t="s">
        <v>11</v>
      </c>
      <c r="G16" s="178" t="s">
        <v>12</v>
      </c>
      <c r="H16" s="178"/>
      <c r="I16" s="178" t="s">
        <v>13</v>
      </c>
      <c r="J16" s="184" t="s">
        <v>14</v>
      </c>
      <c r="K16" s="13"/>
      <c r="L16" s="12"/>
      <c r="M16" s="12" t="s">
        <v>11</v>
      </c>
      <c r="N16" s="178" t="s">
        <v>12</v>
      </c>
      <c r="O16" s="178"/>
      <c r="P16" s="178" t="s">
        <v>13</v>
      </c>
      <c r="Q16" s="184" t="s">
        <v>14</v>
      </c>
    </row>
    <row r="17" spans="1:24" ht="48" x14ac:dyDescent="0.3">
      <c r="A17" s="162"/>
      <c r="B17" s="162"/>
      <c r="C17" s="162"/>
      <c r="D17" s="182"/>
      <c r="E17" s="183"/>
      <c r="F17" s="39"/>
      <c r="G17" s="57" t="s">
        <v>11</v>
      </c>
      <c r="H17" s="57" t="s">
        <v>17</v>
      </c>
      <c r="I17" s="183"/>
      <c r="J17" s="185"/>
      <c r="K17" s="22"/>
      <c r="L17" s="39"/>
      <c r="M17" s="39"/>
      <c r="N17" s="57" t="s">
        <v>11</v>
      </c>
      <c r="O17" s="57" t="s">
        <v>17</v>
      </c>
      <c r="P17" s="183"/>
      <c r="Q17" s="185"/>
    </row>
    <row r="18" spans="1:24" x14ac:dyDescent="0.3">
      <c r="A18" s="40" t="s">
        <v>19</v>
      </c>
      <c r="B18" s="173">
        <v>2019</v>
      </c>
      <c r="C18" s="43">
        <f>C19+C20</f>
        <v>671676</v>
      </c>
      <c r="D18" s="40"/>
      <c r="E18" s="54"/>
      <c r="F18" s="54"/>
      <c r="G18" s="54"/>
      <c r="H18" s="54"/>
      <c r="I18" s="54"/>
      <c r="J18" s="65"/>
      <c r="K18" s="55">
        <f>519.335089512/xrates!C1176</f>
        <v>77.792520785512053</v>
      </c>
      <c r="L18" s="55">
        <f>86.220311092/xrates!C1176</f>
        <v>12.915159168351833</v>
      </c>
      <c r="M18" s="55">
        <f>433.11477842/xrates!C1176</f>
        <v>64.877361617160233</v>
      </c>
      <c r="N18" s="55">
        <f>226.830201489/xrates!C1176</f>
        <v>33.977471425425783</v>
      </c>
      <c r="O18" s="55">
        <f>79.267778096/xrates!C1176</f>
        <v>11.873721609970191</v>
      </c>
      <c r="P18" s="55">
        <f>71.036392231/xrates!C1176</f>
        <v>10.640721435461884</v>
      </c>
      <c r="Q18" s="56">
        <f>135.2481847/xrates!C1176</f>
        <v>20.259168756272562</v>
      </c>
      <c r="R18" s="30"/>
      <c r="S18" s="30"/>
      <c r="T18" s="30"/>
      <c r="U18" s="30"/>
      <c r="V18" s="30"/>
      <c r="W18" s="30"/>
      <c r="X18" s="30"/>
    </row>
    <row r="19" spans="1:24" x14ac:dyDescent="0.3">
      <c r="A19" s="41" t="s">
        <v>16</v>
      </c>
      <c r="B19" s="174"/>
      <c r="C19" s="25">
        <v>60135</v>
      </c>
      <c r="D19" s="25">
        <v>34679</v>
      </c>
      <c r="E19" s="35">
        <v>32739</v>
      </c>
      <c r="F19" s="35">
        <v>1940</v>
      </c>
      <c r="G19" s="35">
        <v>1216</v>
      </c>
      <c r="H19" s="35">
        <v>860</v>
      </c>
      <c r="I19" s="35">
        <v>497</v>
      </c>
      <c r="J19" s="36">
        <v>796</v>
      </c>
      <c r="K19" s="30">
        <f>299.859723289/xrates!C1176</f>
        <v>44.916748796267164</v>
      </c>
      <c r="L19" s="30">
        <f>33.019951617/xrates!C1176</f>
        <v>4.9461423354154492</v>
      </c>
      <c r="M19" s="30">
        <f>266.839771672/xrates!C1176</f>
        <v>39.970606460851712</v>
      </c>
      <c r="N19" s="30">
        <f>178.602324469/xrates!C1176</f>
        <v>26.753295356281548</v>
      </c>
      <c r="O19" s="30">
        <f>67.148821923/xrates!C1176</f>
        <v>10.058392414955286</v>
      </c>
      <c r="P19" s="30">
        <f>14.202694708/xrates!C1176</f>
        <v>2.127457677316916</v>
      </c>
      <c r="Q19" s="31">
        <f>74.034752495/xrates!C1176</f>
        <v>11.089853427253255</v>
      </c>
      <c r="R19" s="30"/>
      <c r="S19" s="30"/>
      <c r="T19" s="30"/>
      <c r="U19" s="30"/>
      <c r="V19" s="30"/>
      <c r="W19" s="30"/>
      <c r="X19" s="30"/>
    </row>
    <row r="20" spans="1:24" x14ac:dyDescent="0.3">
      <c r="A20" s="42" t="s">
        <v>18</v>
      </c>
      <c r="B20" s="175"/>
      <c r="C20" s="28">
        <v>611541</v>
      </c>
      <c r="D20" s="28">
        <v>319433</v>
      </c>
      <c r="E20" s="37">
        <v>311864</v>
      </c>
      <c r="F20" s="37">
        <v>7571</v>
      </c>
      <c r="G20" s="37">
        <v>1687</v>
      </c>
      <c r="H20" s="37">
        <v>913</v>
      </c>
      <c r="I20" s="37">
        <v>4626</v>
      </c>
      <c r="J20" s="38">
        <v>1458</v>
      </c>
      <c r="K20" s="32">
        <f>219.475366223/xrates!C1176</f>
        <v>32.875771989244896</v>
      </c>
      <c r="L20" s="32">
        <f>53.200359475/xrates!C1176</f>
        <v>7.9690168329363829</v>
      </c>
      <c r="M20" s="32">
        <f>166.275006748/xrates!C1176</f>
        <v>24.906755156308513</v>
      </c>
      <c r="N20" s="32">
        <f>48.22787702/xrates!C1176</f>
        <v>7.2241760691442352</v>
      </c>
      <c r="O20" s="32">
        <f>12.118956173/xrates!C1176</f>
        <v>1.8153291950149044</v>
      </c>
      <c r="P20" s="32">
        <f>56.833697523/xrates!C1176</f>
        <v>8.5132637581449693</v>
      </c>
      <c r="Q20" s="33">
        <f>61.213432205/xrates!C1176</f>
        <v>9.169315329019307</v>
      </c>
      <c r="R20" s="30"/>
      <c r="S20" s="30"/>
      <c r="T20" s="30"/>
      <c r="U20" s="30"/>
      <c r="V20" s="30"/>
      <c r="W20" s="30"/>
      <c r="X20" s="30"/>
    </row>
    <row r="21" spans="1:24" x14ac:dyDescent="0.3">
      <c r="A21" s="52" t="s">
        <v>19</v>
      </c>
      <c r="B21" s="173">
        <v>2022</v>
      </c>
      <c r="C21" s="43">
        <f>C23+C22</f>
        <v>1125764</v>
      </c>
      <c r="D21" s="43"/>
      <c r="E21" s="44"/>
      <c r="F21" s="44"/>
      <c r="G21" s="44"/>
      <c r="H21" s="44"/>
      <c r="I21" s="44"/>
      <c r="J21" s="45"/>
      <c r="K21" s="55">
        <f>771.64325483541/xrates!C1179</f>
        <v>110.67428571116864</v>
      </c>
      <c r="L21" s="55">
        <f>94.33468433242/xrates!C1179</f>
        <v>13.530117370761022</v>
      </c>
      <c r="M21" s="55">
        <f>677.30857050299/xrates!C1179</f>
        <v>97.144168340407631</v>
      </c>
      <c r="N21" s="55">
        <f>441.34857012494/xrates!C1179</f>
        <v>63.301191894228509</v>
      </c>
      <c r="O21" s="55">
        <f>91.0059719084/xrates!C1179</f>
        <v>13.052690959582341</v>
      </c>
      <c r="P21" s="55">
        <f>84.96323253617/xrates!C1179</f>
        <v>12.186000478496027</v>
      </c>
      <c r="Q21" s="56">
        <f>150.99676784188/xrates!C1179</f>
        <v>21.656975967683085</v>
      </c>
      <c r="R21" s="30"/>
      <c r="S21" s="30"/>
      <c r="T21" s="30"/>
      <c r="U21" s="30"/>
      <c r="V21" s="30"/>
      <c r="W21" s="30"/>
      <c r="X21" s="30"/>
    </row>
    <row r="22" spans="1:24" x14ac:dyDescent="0.3">
      <c r="A22" s="24" t="s">
        <v>16</v>
      </c>
      <c r="B22" s="174"/>
      <c r="C22" s="25">
        <v>114726</v>
      </c>
      <c r="D22" s="25">
        <v>78977</v>
      </c>
      <c r="E22" s="35">
        <v>76438</v>
      </c>
      <c r="F22" s="35">
        <v>2543</v>
      </c>
      <c r="G22" s="35">
        <v>1782</v>
      </c>
      <c r="H22" s="35">
        <v>1338</v>
      </c>
      <c r="I22" s="35">
        <v>545</v>
      </c>
      <c r="J22" s="36">
        <v>1118</v>
      </c>
      <c r="K22" s="30">
        <f>541.3199937089/xrates!C1179</f>
        <v>77.639768467470816</v>
      </c>
      <c r="L22" s="30">
        <f>36.60501377091/xrates!C1179</f>
        <v>5.2501382305312525</v>
      </c>
      <c r="M22" s="30">
        <f>504.71497993799/xrates!C1179</f>
        <v>72.389630236939553</v>
      </c>
      <c r="N22" s="30">
        <f>385.3910011587/xrates!C1179</f>
        <v>55.275379529947507</v>
      </c>
      <c r="O22" s="30">
        <f>59.69833022586/xrates!C1179</f>
        <v>8.5623376015977737</v>
      </c>
      <c r="P22" s="30">
        <f>20.59810841174/xrates!C1179</f>
        <v>2.9543197859699952</v>
      </c>
      <c r="Q22" s="31">
        <f>98.72587036755/xrates!C1179</f>
        <v>14.15993092102206</v>
      </c>
      <c r="R22" s="30"/>
      <c r="S22" s="30"/>
      <c r="T22" s="30"/>
      <c r="U22" s="30"/>
      <c r="V22" s="30"/>
      <c r="W22" s="30"/>
      <c r="X22" s="30"/>
    </row>
    <row r="23" spans="1:24" x14ac:dyDescent="0.3">
      <c r="A23" s="27" t="s">
        <v>18</v>
      </c>
      <c r="B23" s="175"/>
      <c r="C23" s="28">
        <v>1011038</v>
      </c>
      <c r="D23" s="28">
        <v>475800</v>
      </c>
      <c r="E23" s="37">
        <v>461290</v>
      </c>
      <c r="F23" s="37">
        <v>14525</v>
      </c>
      <c r="G23" s="37">
        <v>2737</v>
      </c>
      <c r="H23" s="37">
        <v>1360</v>
      </c>
      <c r="I23" s="37">
        <v>11232</v>
      </c>
      <c r="J23" s="38">
        <v>1261</v>
      </c>
      <c r="K23" s="32">
        <f>230.32326112651/xrates!C1179</f>
        <v>33.034517243697827</v>
      </c>
      <c r="L23" s="32">
        <f>57.72967056151/xrates!C1179</f>
        <v>8.27997914022977</v>
      </c>
      <c r="M23" s="32">
        <f>172.593590565/xrates!C1179</f>
        <v>24.754538103468057</v>
      </c>
      <c r="N23" s="32">
        <f>55.95756896624/xrates!C1179</f>
        <v>8.025812364281002</v>
      </c>
      <c r="O23" s="32">
        <f>31.30764168254/xrates!C1179</f>
        <v>4.4903533579845671</v>
      </c>
      <c r="P23" s="32">
        <f>64.36512412443/xrates!C1179</f>
        <v>9.231680692526032</v>
      </c>
      <c r="Q23" s="33">
        <f>52.27089747433/xrates!C1179</f>
        <v>7.4970450466610252</v>
      </c>
      <c r="R23" s="30"/>
      <c r="S23" s="30"/>
      <c r="T23" s="30"/>
      <c r="U23" s="30"/>
      <c r="V23" s="30"/>
      <c r="W23" s="30"/>
      <c r="X23" s="30"/>
    </row>
    <row r="24" spans="1:24" ht="60.6" customHeight="1" x14ac:dyDescent="0.3">
      <c r="A24" s="49" t="s">
        <v>39</v>
      </c>
      <c r="B24" s="179" t="s">
        <v>47</v>
      </c>
      <c r="C24" s="179"/>
      <c r="D24" s="179"/>
      <c r="E24" s="179"/>
      <c r="F24" s="179"/>
      <c r="G24" s="179"/>
      <c r="H24" s="179"/>
      <c r="I24" s="179"/>
      <c r="J24" s="179"/>
      <c r="K24" s="179"/>
      <c r="L24" s="179"/>
      <c r="M24" s="179"/>
      <c r="N24" s="179"/>
      <c r="O24" s="179"/>
      <c r="P24" s="179"/>
      <c r="Q24" s="179"/>
    </row>
    <row r="25" spans="1:24" x14ac:dyDescent="0.3">
      <c r="A25" s="49" t="s">
        <v>42</v>
      </c>
      <c r="B25" s="49" t="s">
        <v>56</v>
      </c>
    </row>
  </sheetData>
  <mergeCells count="36">
    <mergeCell ref="A1:Q1"/>
    <mergeCell ref="A2:A5"/>
    <mergeCell ref="B2:B5"/>
    <mergeCell ref="B6:B8"/>
    <mergeCell ref="I4:I5"/>
    <mergeCell ref="J4:J5"/>
    <mergeCell ref="P4:P5"/>
    <mergeCell ref="Q4:Q5"/>
    <mergeCell ref="C2:C5"/>
    <mergeCell ref="D3:D5"/>
    <mergeCell ref="E3:E5"/>
    <mergeCell ref="D2:J2"/>
    <mergeCell ref="K2:Q2"/>
    <mergeCell ref="F3:J3"/>
    <mergeCell ref="B24:Q24"/>
    <mergeCell ref="A14:A17"/>
    <mergeCell ref="B14:B17"/>
    <mergeCell ref="C14:C17"/>
    <mergeCell ref="D15:D17"/>
    <mergeCell ref="E15:E17"/>
    <mergeCell ref="G16:H16"/>
    <mergeCell ref="N16:O16"/>
    <mergeCell ref="B18:B20"/>
    <mergeCell ref="B21:B23"/>
    <mergeCell ref="I16:I17"/>
    <mergeCell ref="J16:J17"/>
    <mergeCell ref="F15:J15"/>
    <mergeCell ref="M15:Q15"/>
    <mergeCell ref="P16:P17"/>
    <mergeCell ref="Q16:Q17"/>
    <mergeCell ref="M3:Q3"/>
    <mergeCell ref="G4:H4"/>
    <mergeCell ref="N4:O4"/>
    <mergeCell ref="B9:B11"/>
    <mergeCell ref="D14:J14"/>
    <mergeCell ref="K14:Q14"/>
  </mergeCells>
  <pageMargins left="0.7" right="0.7" top="0.75" bottom="0.43333333333333335" header="0.3" footer="0.3"/>
  <pageSetup paperSize="9" orientation="landscape" r:id="rId1"/>
  <headerFooter>
    <oddHeader>&amp;C&amp;"-,Gras"&amp;18(DNK) Denmark</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BCDAA-0398-478A-B39F-83F5BF6F6A13}">
  <dimension ref="A1:I24"/>
  <sheetViews>
    <sheetView showGridLines="0" view="pageLayout" zoomScale="70" zoomScaleNormal="100" zoomScalePageLayoutView="70" workbookViewId="0">
      <selection activeCell="B9" sqref="B9:H10"/>
    </sheetView>
  </sheetViews>
  <sheetFormatPr baseColWidth="10" defaultColWidth="10.88671875" defaultRowHeight="14.4" x14ac:dyDescent="0.3"/>
  <cols>
    <col min="3" max="3" width="18.21875" customWidth="1"/>
    <col min="4" max="4" width="25.33203125" customWidth="1"/>
    <col min="5" max="5" width="14.33203125" customWidth="1"/>
  </cols>
  <sheetData>
    <row r="1" spans="1:9" s="8" customFormat="1" ht="14.4" customHeight="1" x14ac:dyDescent="0.3">
      <c r="A1" s="15" t="s">
        <v>9</v>
      </c>
      <c r="B1" s="67" t="s">
        <v>0</v>
      </c>
      <c r="C1" s="15" t="s">
        <v>20</v>
      </c>
      <c r="D1" s="67" t="s">
        <v>259</v>
      </c>
      <c r="E1" s="15" t="s">
        <v>41</v>
      </c>
    </row>
    <row r="2" spans="1:9" x14ac:dyDescent="0.3">
      <c r="A2" s="18" t="s">
        <v>8</v>
      </c>
      <c r="B2" s="18">
        <v>2019</v>
      </c>
      <c r="C2" s="29">
        <v>2206755</v>
      </c>
      <c r="D2" s="66">
        <f>161.16323467994/xrates!C1462</f>
        <v>181.05077721916462</v>
      </c>
      <c r="E2" s="66">
        <v>92.3</v>
      </c>
    </row>
    <row r="3" spans="1:9" x14ac:dyDescent="0.3">
      <c r="A3" s="18" t="s">
        <v>8</v>
      </c>
      <c r="B3" s="18">
        <v>2020</v>
      </c>
      <c r="C3" s="29">
        <v>3174409</v>
      </c>
      <c r="D3" s="66">
        <f>188.65454812928/xrates!C1463</f>
        <v>231.49799561103143</v>
      </c>
      <c r="E3" s="66">
        <v>94.18</v>
      </c>
    </row>
    <row r="4" spans="1:9" x14ac:dyDescent="0.3">
      <c r="A4" s="18" t="s">
        <v>8</v>
      </c>
      <c r="B4" s="18">
        <v>2021</v>
      </c>
      <c r="C4" s="29">
        <v>5093586</v>
      </c>
      <c r="D4" s="66">
        <f>203.48482299365/xrates!C1464</f>
        <v>230.46690924351665</v>
      </c>
      <c r="E4" s="66">
        <v>96.05</v>
      </c>
    </row>
    <row r="5" spans="1:9" x14ac:dyDescent="0.3">
      <c r="A5" s="52" t="s">
        <v>8</v>
      </c>
      <c r="B5" s="186">
        <v>2022</v>
      </c>
      <c r="C5" s="53">
        <v>5408162</v>
      </c>
      <c r="D5" s="55">
        <f>210.31827021668/xrates!C1465</f>
        <v>224.32546639397259</v>
      </c>
      <c r="E5" s="68">
        <v>96.27</v>
      </c>
    </row>
    <row r="6" spans="1:9" x14ac:dyDescent="0.3">
      <c r="A6" s="24" t="s">
        <v>16</v>
      </c>
      <c r="B6" s="176"/>
      <c r="C6" s="50">
        <v>504653</v>
      </c>
      <c r="D6" s="30">
        <f>132.89821905291/xrates!C1465</f>
        <v>141.74924005060592</v>
      </c>
      <c r="E6" s="69"/>
    </row>
    <row r="7" spans="1:9" x14ac:dyDescent="0.3">
      <c r="A7" s="27" t="s">
        <v>18</v>
      </c>
      <c r="B7" s="187"/>
      <c r="C7" s="51">
        <v>4903509</v>
      </c>
      <c r="D7" s="32">
        <f>77.42005116377/xrates!C1465</f>
        <v>82.576226343366699</v>
      </c>
      <c r="E7" s="70"/>
    </row>
    <row r="8" spans="1:9" x14ac:dyDescent="0.3">
      <c r="A8" s="10"/>
      <c r="B8" s="10"/>
      <c r="C8" s="10"/>
      <c r="D8" s="10"/>
      <c r="E8" s="10"/>
    </row>
    <row r="10" spans="1:9" ht="102.6" customHeight="1" x14ac:dyDescent="0.3">
      <c r="A10" s="49" t="s">
        <v>39</v>
      </c>
      <c r="B10" s="163" t="s">
        <v>58</v>
      </c>
      <c r="C10" s="163"/>
      <c r="D10" s="163"/>
      <c r="E10" s="163"/>
      <c r="F10" s="163"/>
      <c r="G10" s="163"/>
      <c r="H10" s="163"/>
      <c r="I10" s="163"/>
    </row>
    <row r="11" spans="1:9" ht="16.95" customHeight="1" x14ac:dyDescent="0.3">
      <c r="A11" s="1" t="s">
        <v>42</v>
      </c>
      <c r="B11" s="163" t="s">
        <v>46</v>
      </c>
      <c r="C11" s="163"/>
      <c r="D11" s="163"/>
      <c r="E11" s="163"/>
      <c r="F11" s="163"/>
      <c r="G11" s="163"/>
      <c r="H11" s="163"/>
      <c r="I11" s="163"/>
    </row>
    <row r="14" spans="1:9" ht="23.4" x14ac:dyDescent="0.45">
      <c r="D14" s="188" t="s">
        <v>271</v>
      </c>
      <c r="E14" s="188"/>
      <c r="F14" s="188"/>
    </row>
    <row r="16" spans="1:9" ht="27" customHeight="1" x14ac:dyDescent="0.3">
      <c r="A16" s="19" t="s">
        <v>0</v>
      </c>
      <c r="B16" s="15" t="s">
        <v>1</v>
      </c>
      <c r="C16" s="15" t="s">
        <v>259</v>
      </c>
    </row>
    <row r="17" spans="1:3" x14ac:dyDescent="0.3">
      <c r="A17" s="18">
        <v>2016</v>
      </c>
      <c r="B17" s="29">
        <v>16980</v>
      </c>
      <c r="C17" s="71">
        <f>0.715505183/xrates!C1459</f>
        <v>0.75421401033819113</v>
      </c>
    </row>
    <row r="18" spans="1:3" x14ac:dyDescent="0.3">
      <c r="A18" s="18">
        <v>2017</v>
      </c>
      <c r="B18" s="29">
        <v>80786</v>
      </c>
      <c r="C18" s="71">
        <f>2.906233116/xrates!C1460</f>
        <v>3.4854453683891604</v>
      </c>
    </row>
    <row r="19" spans="1:3" x14ac:dyDescent="0.3">
      <c r="A19" s="18">
        <v>2018</v>
      </c>
      <c r="B19" s="29">
        <v>94759</v>
      </c>
      <c r="C19" s="71">
        <f>3.682835881/xrates!C1461</f>
        <v>4.2168470616065532</v>
      </c>
    </row>
    <row r="20" spans="1:3" x14ac:dyDescent="0.3">
      <c r="A20" s="18">
        <v>2019</v>
      </c>
      <c r="B20" s="29">
        <v>117095</v>
      </c>
      <c r="C20" s="71">
        <f>4.958110722/xrates!C1462</f>
        <v>5.5699415660121794</v>
      </c>
    </row>
    <row r="21" spans="1:3" x14ac:dyDescent="0.3">
      <c r="A21" s="18">
        <v>2020</v>
      </c>
      <c r="B21" s="29">
        <v>127673</v>
      </c>
      <c r="C21" s="71">
        <f>7.267673393/xrates!C1463</f>
        <v>8.9181620052021433</v>
      </c>
    </row>
    <row r="22" spans="1:3" x14ac:dyDescent="0.3">
      <c r="A22" s="92"/>
      <c r="B22" s="95"/>
      <c r="C22" s="97"/>
    </row>
    <row r="24" spans="1:3" x14ac:dyDescent="0.3">
      <c r="A24" t="s">
        <v>42</v>
      </c>
      <c r="B24" t="s">
        <v>45</v>
      </c>
    </row>
  </sheetData>
  <mergeCells count="4">
    <mergeCell ref="B5:B7"/>
    <mergeCell ref="B10:I10"/>
    <mergeCell ref="B11:I11"/>
    <mergeCell ref="D14:F14"/>
  </mergeCells>
  <pageMargins left="0.7" right="0.7" top="0.75" bottom="0.75" header="0.3" footer="0.3"/>
  <pageSetup paperSize="9" orientation="landscape" r:id="rId1"/>
  <headerFooter>
    <oddHeader>&amp;C&amp;"-,Gras"&amp;18(ESP) Spain</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C9218-BBD9-43E2-8AD4-4A0508FBB8C7}">
  <dimension ref="A1:R25"/>
  <sheetViews>
    <sheetView showGridLines="0" view="pageLayout" zoomScaleNormal="90" workbookViewId="0">
      <selection activeCell="B9" sqref="B9:H10"/>
    </sheetView>
  </sheetViews>
  <sheetFormatPr baseColWidth="10" defaultColWidth="11.5546875" defaultRowHeight="14.4" x14ac:dyDescent="0.3"/>
  <cols>
    <col min="1" max="1" width="7" customWidth="1"/>
    <col min="2" max="2" width="6.21875" customWidth="1"/>
    <col min="3" max="3" width="8.6640625" customWidth="1"/>
    <col min="4" max="4" width="9.77734375" customWidth="1"/>
    <col min="5" max="8" width="7.21875" customWidth="1"/>
    <col min="9" max="11" width="10" customWidth="1"/>
    <col min="12" max="12" width="5.21875" customWidth="1"/>
    <col min="13" max="13" width="5.88671875" customWidth="1"/>
    <col min="14" max="14" width="5" customWidth="1"/>
    <col min="15" max="16" width="7.109375" customWidth="1"/>
    <col min="17" max="17" width="7.21875" customWidth="1"/>
    <col min="18" max="18" width="12" customWidth="1"/>
  </cols>
  <sheetData>
    <row r="1" spans="1:18" ht="28.8" customHeight="1" x14ac:dyDescent="0.3">
      <c r="A1" s="161" t="s">
        <v>9</v>
      </c>
      <c r="B1" s="161" t="s">
        <v>0</v>
      </c>
      <c r="C1" s="168" t="s">
        <v>1</v>
      </c>
      <c r="D1" s="171"/>
      <c r="E1" s="171"/>
      <c r="F1" s="171"/>
      <c r="G1" s="171"/>
      <c r="H1" s="172"/>
      <c r="I1" s="171" t="s">
        <v>265</v>
      </c>
      <c r="J1" s="171"/>
      <c r="K1" s="172"/>
      <c r="L1" s="168" t="s">
        <v>259</v>
      </c>
      <c r="M1" s="171"/>
      <c r="N1" s="171"/>
      <c r="O1" s="171"/>
      <c r="P1" s="171"/>
      <c r="Q1" s="172"/>
      <c r="R1" s="161" t="s">
        <v>266</v>
      </c>
    </row>
    <row r="2" spans="1:18" ht="14.4" customHeight="1" x14ac:dyDescent="0.3">
      <c r="A2" s="180"/>
      <c r="B2" s="180"/>
      <c r="C2" s="13" t="s">
        <v>11</v>
      </c>
      <c r="D2" s="12" t="s">
        <v>5</v>
      </c>
      <c r="E2" s="178" t="s">
        <v>15</v>
      </c>
      <c r="F2" s="178"/>
      <c r="G2" s="178"/>
      <c r="H2" s="184"/>
      <c r="I2" s="178" t="s">
        <v>22</v>
      </c>
      <c r="J2" s="178" t="s">
        <v>23</v>
      </c>
      <c r="K2" s="184" t="s">
        <v>24</v>
      </c>
      <c r="L2" s="13" t="s">
        <v>11</v>
      </c>
      <c r="M2" s="178" t="s">
        <v>5</v>
      </c>
      <c r="N2" s="176" t="s">
        <v>15</v>
      </c>
      <c r="O2" s="176"/>
      <c r="P2" s="176"/>
      <c r="Q2" s="177"/>
      <c r="R2" s="180"/>
    </row>
    <row r="3" spans="1:18" ht="14.4" customHeight="1" x14ac:dyDescent="0.3">
      <c r="A3" s="162"/>
      <c r="B3" s="162"/>
      <c r="C3" s="22"/>
      <c r="D3" s="39"/>
      <c r="E3" s="39" t="s">
        <v>11</v>
      </c>
      <c r="F3" s="39" t="s">
        <v>12</v>
      </c>
      <c r="G3" s="39" t="s">
        <v>13</v>
      </c>
      <c r="H3" s="23" t="s">
        <v>14</v>
      </c>
      <c r="I3" s="183"/>
      <c r="J3" s="183"/>
      <c r="K3" s="185"/>
      <c r="L3" s="22"/>
      <c r="M3" s="183"/>
      <c r="N3" s="39" t="s">
        <v>11</v>
      </c>
      <c r="O3" s="39" t="s">
        <v>12</v>
      </c>
      <c r="P3" s="39" t="s">
        <v>13</v>
      </c>
      <c r="Q3" s="23" t="s">
        <v>14</v>
      </c>
      <c r="R3" s="162"/>
    </row>
    <row r="4" spans="1:18" x14ac:dyDescent="0.3">
      <c r="A4" s="24" t="s">
        <v>8</v>
      </c>
      <c r="B4" s="174">
        <v>2022</v>
      </c>
      <c r="C4" s="25">
        <v>9977853</v>
      </c>
      <c r="D4" s="35">
        <v>9567395</v>
      </c>
      <c r="E4" s="35">
        <v>410458</v>
      </c>
      <c r="F4" s="35">
        <v>209035</v>
      </c>
      <c r="G4" s="35">
        <v>117919</v>
      </c>
      <c r="H4" s="36">
        <v>83504</v>
      </c>
      <c r="I4" s="35">
        <v>75730</v>
      </c>
      <c r="J4" s="35">
        <v>43271</v>
      </c>
      <c r="K4" s="36">
        <v>3570</v>
      </c>
      <c r="L4" s="25">
        <f>1207.75919143272/xrates!C4193</f>
        <v>1457.5237914980746</v>
      </c>
      <c r="M4" s="35">
        <f>758.51909636771/xrates!C4193</f>
        <v>915.38084504252345</v>
      </c>
      <c r="N4" s="35">
        <f>449.24009506501/xrates!C4193</f>
        <v>542.14294645555117</v>
      </c>
      <c r="O4" s="35">
        <f>282.02998427745/xrates!C4193</f>
        <v>340.35378485721117</v>
      </c>
      <c r="P4" s="35">
        <f>101.81862568771/xrates!C4193</f>
        <v>122.87471741898256</v>
      </c>
      <c r="Q4" s="36">
        <f>65.39148509985/xrates!C4193</f>
        <v>78.914444179357417</v>
      </c>
      <c r="R4" s="72">
        <v>0.26</v>
      </c>
    </row>
    <row r="5" spans="1:18" x14ac:dyDescent="0.3">
      <c r="A5" s="27" t="s">
        <v>16</v>
      </c>
      <c r="B5" s="175"/>
      <c r="C5" s="28">
        <v>2137444</v>
      </c>
      <c r="D5" s="37">
        <v>1962093</v>
      </c>
      <c r="E5" s="37">
        <v>175351</v>
      </c>
      <c r="F5" s="37">
        <v>124672</v>
      </c>
      <c r="G5" s="37">
        <v>24112</v>
      </c>
      <c r="H5" s="38">
        <v>26567</v>
      </c>
      <c r="I5" s="37">
        <v>44901</v>
      </c>
      <c r="J5" s="37">
        <v>36768</v>
      </c>
      <c r="K5" s="38">
        <v>2273</v>
      </c>
      <c r="L5" s="28">
        <f>942.80668764101/xrates!C4193</f>
        <v>1137.7791100808324</v>
      </c>
      <c r="M5" s="100">
        <f>637.74643947934/xrates!C4193</f>
        <v>769.63240278192984</v>
      </c>
      <c r="N5" s="37">
        <f>305.06024816167/xrates!C4193</f>
        <v>368.14670729890258</v>
      </c>
      <c r="O5" s="37">
        <f>230.10451836862/xrates!C4193</f>
        <v>277.69013262951631</v>
      </c>
      <c r="P5" s="37">
        <f>41.40692918711/xrates!C4193</f>
        <v>49.969882118219289</v>
      </c>
      <c r="Q5" s="38">
        <f>33.54880060594/xrates!C4193</f>
        <v>40.486692551166996</v>
      </c>
      <c r="R5" s="73">
        <v>0.21</v>
      </c>
    </row>
    <row r="8" spans="1:18" ht="56.4" customHeight="1" x14ac:dyDescent="0.3">
      <c r="A8" s="49" t="s">
        <v>39</v>
      </c>
      <c r="B8" s="163" t="s">
        <v>264</v>
      </c>
      <c r="C8" s="163"/>
      <c r="D8" s="163"/>
      <c r="E8" s="163"/>
      <c r="F8" s="163"/>
      <c r="G8" s="163"/>
      <c r="H8" s="163"/>
      <c r="I8" s="163"/>
      <c r="J8" s="163"/>
      <c r="K8" s="163"/>
      <c r="L8" s="163"/>
      <c r="M8" s="163"/>
      <c r="N8" s="163"/>
      <c r="O8" s="163"/>
      <c r="P8" s="163"/>
      <c r="Q8" s="163"/>
      <c r="R8" s="163"/>
    </row>
    <row r="9" spans="1:18" x14ac:dyDescent="0.3">
      <c r="A9" t="s">
        <v>42</v>
      </c>
      <c r="B9" t="s">
        <v>48</v>
      </c>
    </row>
    <row r="12" spans="1:18" x14ac:dyDescent="0.3">
      <c r="N12" s="7"/>
      <c r="O12" s="7"/>
      <c r="P12" s="7"/>
      <c r="Q12" s="7"/>
    </row>
    <row r="13" spans="1:18" x14ac:dyDescent="0.3">
      <c r="N13" s="7"/>
      <c r="O13" s="7"/>
      <c r="P13" s="7"/>
      <c r="Q13" s="7"/>
    </row>
    <row r="14" spans="1:18" ht="23.4" x14ac:dyDescent="0.45">
      <c r="I14" s="91" t="s">
        <v>272</v>
      </c>
      <c r="N14" s="7"/>
      <c r="O14" s="7"/>
      <c r="P14" s="7"/>
      <c r="Q14" s="7"/>
    </row>
    <row r="15" spans="1:18" x14ac:dyDescent="0.3">
      <c r="N15" s="7"/>
      <c r="O15" s="7"/>
      <c r="P15" s="7"/>
      <c r="Q15" s="7"/>
    </row>
    <row r="16" spans="1:18" x14ac:dyDescent="0.3">
      <c r="N16" s="7"/>
      <c r="O16" s="7"/>
      <c r="P16" s="7"/>
      <c r="Q16" s="7"/>
    </row>
    <row r="17" spans="2:17" ht="43.2" x14ac:dyDescent="0.3">
      <c r="B17" s="15" t="s">
        <v>0</v>
      </c>
      <c r="C17" s="15" t="s">
        <v>1</v>
      </c>
      <c r="D17" s="15" t="s">
        <v>259</v>
      </c>
      <c r="N17" s="7"/>
      <c r="O17" s="7"/>
      <c r="P17" s="7"/>
      <c r="Q17" s="7"/>
    </row>
    <row r="18" spans="2:17" x14ac:dyDescent="0.3">
      <c r="B18" s="18">
        <v>2016</v>
      </c>
      <c r="C18" s="29">
        <v>120102</v>
      </c>
      <c r="D18" s="74">
        <f>3.14442257/xrates!C1459</f>
        <v>3.3145358175799848</v>
      </c>
    </row>
    <row r="19" spans="2:17" x14ac:dyDescent="0.3">
      <c r="B19" s="18">
        <v>2017</v>
      </c>
      <c r="C19" s="29">
        <v>343908</v>
      </c>
      <c r="D19" s="74">
        <f>15.12406358/xrates!C1460</f>
        <v>18.138289411789284</v>
      </c>
    </row>
    <row r="20" spans="2:17" x14ac:dyDescent="0.3">
      <c r="B20" s="18">
        <v>2018</v>
      </c>
      <c r="C20" s="29">
        <v>495975</v>
      </c>
      <c r="D20" s="74">
        <f>18.107424978/xrates!C1461</f>
        <v>20.733001490961744</v>
      </c>
    </row>
    <row r="21" spans="2:17" x14ac:dyDescent="0.3">
      <c r="B21" s="18">
        <v>2019</v>
      </c>
      <c r="C21" s="29">
        <v>521880</v>
      </c>
      <c r="D21" s="74">
        <f>18.659751559/xrates!C1462</f>
        <v>20.962364829563537</v>
      </c>
    </row>
    <row r="22" spans="2:17" x14ac:dyDescent="0.3">
      <c r="B22" s="18">
        <v>2020</v>
      </c>
      <c r="C22" s="29">
        <v>877538</v>
      </c>
      <c r="D22" s="74">
        <f>20.349301454/xrates!C1463</f>
        <v>24.970627771228948</v>
      </c>
    </row>
    <row r="25" spans="2:17" x14ac:dyDescent="0.3">
      <c r="B25" t="s">
        <v>42</v>
      </c>
      <c r="C25" t="s">
        <v>49</v>
      </c>
    </row>
  </sheetData>
  <mergeCells count="14">
    <mergeCell ref="A1:A3"/>
    <mergeCell ref="R1:R3"/>
    <mergeCell ref="B8:R8"/>
    <mergeCell ref="M2:M3"/>
    <mergeCell ref="I2:I3"/>
    <mergeCell ref="J2:J3"/>
    <mergeCell ref="K2:K3"/>
    <mergeCell ref="B4:B5"/>
    <mergeCell ref="L1:Q1"/>
    <mergeCell ref="N2:Q2"/>
    <mergeCell ref="E2:H2"/>
    <mergeCell ref="C1:H1"/>
    <mergeCell ref="B1:B3"/>
    <mergeCell ref="I1:K1"/>
  </mergeCells>
  <pageMargins left="0.31666666666666665" right="0.31666666666666665" top="0.75" bottom="0.75" header="0.3" footer="0.3"/>
  <pageSetup paperSize="9" orientation="landscape" r:id="rId1"/>
  <headerFooter>
    <oddHeader>&amp;C&amp;"-,Gras"&amp;18(GBR) The United Kingdom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613DE-6A4E-494A-8527-B97D7DF70FE1}">
  <dimension ref="A1:O27"/>
  <sheetViews>
    <sheetView showGridLines="0" view="pageLayout" topLeftCell="C1" zoomScaleNormal="100" workbookViewId="0">
      <selection activeCell="B9" sqref="B9:H10"/>
    </sheetView>
  </sheetViews>
  <sheetFormatPr baseColWidth="10" defaultColWidth="10.88671875" defaultRowHeight="14.4" x14ac:dyDescent="0.3"/>
  <cols>
    <col min="1" max="1" width="6.21875" customWidth="1"/>
    <col min="2" max="2" width="8.77734375" customWidth="1"/>
    <col min="3" max="3" width="9.44140625" customWidth="1"/>
    <col min="4" max="4" width="8.33203125" customWidth="1"/>
    <col min="5" max="5" width="9.77734375" customWidth="1"/>
    <col min="8" max="8" width="9.33203125" customWidth="1"/>
    <col min="9" max="9" width="8.77734375" customWidth="1"/>
    <col min="10" max="10" width="5.44140625" customWidth="1"/>
    <col min="11" max="11" width="10.44140625" customWidth="1"/>
    <col min="12" max="12" width="9.5546875" customWidth="1"/>
    <col min="13" max="13" width="5.33203125" customWidth="1"/>
    <col min="14" max="14" width="9.5546875" customWidth="1"/>
    <col min="15" max="15" width="7.77734375" customWidth="1"/>
  </cols>
  <sheetData>
    <row r="1" spans="1:15" ht="14.4" customHeight="1" x14ac:dyDescent="0.3">
      <c r="A1" s="161" t="s">
        <v>0</v>
      </c>
      <c r="B1" s="168" t="s">
        <v>25</v>
      </c>
      <c r="C1" s="171"/>
      <c r="D1" s="171"/>
      <c r="E1" s="171"/>
      <c r="F1" s="171"/>
      <c r="G1" s="172"/>
      <c r="H1" s="168" t="s">
        <v>28</v>
      </c>
      <c r="I1" s="172"/>
      <c r="J1" s="168" t="s">
        <v>259</v>
      </c>
      <c r="K1" s="171"/>
      <c r="L1" s="171"/>
      <c r="M1" s="171"/>
      <c r="N1" s="171"/>
      <c r="O1" s="172"/>
    </row>
    <row r="2" spans="1:15" s="8" customFormat="1" ht="14.4" customHeight="1" x14ac:dyDescent="0.3">
      <c r="A2" s="180"/>
      <c r="B2" s="181" t="s">
        <v>31</v>
      </c>
      <c r="C2" s="191"/>
      <c r="D2" s="184"/>
      <c r="E2" s="178" t="s">
        <v>32</v>
      </c>
      <c r="F2" s="178"/>
      <c r="G2" s="184"/>
      <c r="H2" s="189"/>
      <c r="I2" s="190"/>
      <c r="J2" s="181" t="s">
        <v>31</v>
      </c>
      <c r="K2" s="191"/>
      <c r="L2" s="184"/>
      <c r="M2" s="178" t="s">
        <v>32</v>
      </c>
      <c r="N2" s="178"/>
      <c r="O2" s="184"/>
    </row>
    <row r="3" spans="1:15" ht="19.8" customHeight="1" x14ac:dyDescent="0.3">
      <c r="A3" s="162"/>
      <c r="B3" s="104" t="s">
        <v>11</v>
      </c>
      <c r="C3" s="102" t="s">
        <v>5</v>
      </c>
      <c r="D3" s="103" t="s">
        <v>15</v>
      </c>
      <c r="E3" s="39" t="s">
        <v>11</v>
      </c>
      <c r="F3" s="39" t="s">
        <v>5</v>
      </c>
      <c r="G3" s="23" t="s">
        <v>15</v>
      </c>
      <c r="H3" s="22" t="s">
        <v>31</v>
      </c>
      <c r="I3" s="23" t="s">
        <v>32</v>
      </c>
      <c r="J3" s="104" t="s">
        <v>11</v>
      </c>
      <c r="K3" s="102" t="s">
        <v>5</v>
      </c>
      <c r="L3" s="103" t="s">
        <v>15</v>
      </c>
      <c r="M3" s="39" t="s">
        <v>11</v>
      </c>
      <c r="N3" s="39" t="s">
        <v>5</v>
      </c>
      <c r="O3" s="23" t="s">
        <v>15</v>
      </c>
    </row>
    <row r="4" spans="1:15" x14ac:dyDescent="0.3">
      <c r="A4" s="24">
        <v>2018</v>
      </c>
      <c r="B4" s="25">
        <v>744986</v>
      </c>
      <c r="C4" s="95"/>
      <c r="D4" s="36"/>
      <c r="E4" s="35">
        <v>90155</v>
      </c>
      <c r="F4" s="35"/>
      <c r="G4" s="36"/>
      <c r="H4" s="25">
        <v>74</v>
      </c>
      <c r="I4" s="36">
        <v>58</v>
      </c>
      <c r="J4" s="79" t="s">
        <v>27</v>
      </c>
      <c r="K4" s="96"/>
      <c r="L4" s="26"/>
      <c r="M4" s="80" t="s">
        <v>27</v>
      </c>
      <c r="N4" s="80"/>
      <c r="O4" s="26"/>
    </row>
    <row r="5" spans="1:15" x14ac:dyDescent="0.3">
      <c r="A5" s="24">
        <v>2019</v>
      </c>
      <c r="B5" s="25">
        <v>2058777</v>
      </c>
      <c r="C5" s="95"/>
      <c r="D5" s="36"/>
      <c r="E5" s="35">
        <v>473699</v>
      </c>
      <c r="F5" s="35"/>
      <c r="G5" s="36"/>
      <c r="H5" s="25">
        <v>86</v>
      </c>
      <c r="I5" s="36">
        <v>65</v>
      </c>
      <c r="J5" s="79">
        <f>10*1000/xrates!C2056</f>
        <v>91.642228739002931</v>
      </c>
      <c r="K5" s="96"/>
      <c r="L5" s="26"/>
      <c r="M5" s="80">
        <f>4*1000/xrates!C2056</f>
        <v>36.656891495601172</v>
      </c>
      <c r="N5" s="80"/>
      <c r="O5" s="26"/>
    </row>
    <row r="6" spans="1:15" x14ac:dyDescent="0.3">
      <c r="A6" s="24">
        <v>2020</v>
      </c>
      <c r="B6" s="25">
        <v>1906896</v>
      </c>
      <c r="C6" s="95"/>
      <c r="D6" s="36"/>
      <c r="E6" s="35">
        <v>650558</v>
      </c>
      <c r="F6" s="35"/>
      <c r="G6" s="36"/>
      <c r="H6" s="25">
        <v>87</v>
      </c>
      <c r="I6" s="36">
        <v>70</v>
      </c>
      <c r="J6" s="79">
        <f>12.6*1000/xrates!C2057</f>
        <v>121.58641320081058</v>
      </c>
      <c r="K6" s="96"/>
      <c r="L6" s="26"/>
      <c r="M6" s="80">
        <f>6.8*1000/xrates!C2057</f>
        <v>65.618064267104117</v>
      </c>
      <c r="N6" s="80"/>
      <c r="O6" s="26"/>
    </row>
    <row r="7" spans="1:15" x14ac:dyDescent="0.3">
      <c r="A7" s="24">
        <v>2021</v>
      </c>
      <c r="B7" s="25">
        <v>2500664</v>
      </c>
      <c r="C7" s="95"/>
      <c r="D7" s="36"/>
      <c r="E7" s="35">
        <v>651794</v>
      </c>
      <c r="F7" s="35"/>
      <c r="G7" s="36"/>
      <c r="H7" s="25">
        <v>94</v>
      </c>
      <c r="I7" s="36">
        <v>77</v>
      </c>
      <c r="J7" s="79">
        <f>14*1000/xrates!C2058</f>
        <v>122.58121005165923</v>
      </c>
      <c r="K7" s="96"/>
      <c r="L7" s="26"/>
      <c r="M7" s="80">
        <f>4.9*1000/xrates!C2058</f>
        <v>42.903423518080729</v>
      </c>
      <c r="N7" s="80"/>
      <c r="O7" s="26"/>
    </row>
    <row r="8" spans="1:15" x14ac:dyDescent="0.3">
      <c r="A8" s="24">
        <v>2022</v>
      </c>
      <c r="B8" s="25">
        <v>2523181</v>
      </c>
      <c r="C8" s="95">
        <v>2500000</v>
      </c>
      <c r="D8" s="36">
        <v>30000</v>
      </c>
      <c r="E8" s="35">
        <v>532037</v>
      </c>
      <c r="F8" s="35">
        <v>510000</v>
      </c>
      <c r="G8" s="36">
        <v>20000</v>
      </c>
      <c r="H8" s="25">
        <v>95</v>
      </c>
      <c r="I8" s="36">
        <v>78</v>
      </c>
      <c r="J8" s="79">
        <f>16.4*1000/xrates!C2059</f>
        <v>123.63362231436109</v>
      </c>
      <c r="K8" s="96">
        <f>10.9*1000/xrates!C2059</f>
        <v>82.171127026008293</v>
      </c>
      <c r="L8" s="26">
        <f>5.5*1000/xrates!C2059</f>
        <v>41.462495288352805</v>
      </c>
      <c r="M8" s="80">
        <f>5.1*1000/xrates!C2059</f>
        <v>38.447041085563512</v>
      </c>
      <c r="N8" s="80">
        <f>1.1*1000/xrates!C2059</f>
        <v>8.2924990576705611</v>
      </c>
      <c r="O8" s="26">
        <f>4*1000/xrates!C2059</f>
        <v>30.154542027892951</v>
      </c>
    </row>
    <row r="9" spans="1:15" x14ac:dyDescent="0.3">
      <c r="A9" s="27">
        <v>2023</v>
      </c>
      <c r="B9" s="28">
        <v>2455288</v>
      </c>
      <c r="C9" s="37">
        <v>2430000</v>
      </c>
      <c r="D9" s="38">
        <v>30000</v>
      </c>
      <c r="E9" s="37">
        <v>510782</v>
      </c>
      <c r="F9" s="37">
        <v>490000</v>
      </c>
      <c r="G9" s="38">
        <v>20000</v>
      </c>
      <c r="H9" s="28">
        <v>93</v>
      </c>
      <c r="I9" s="38">
        <v>80</v>
      </c>
      <c r="J9" s="144">
        <f>14.2*1000/xrates!C4415</f>
        <v>100.06342047776761</v>
      </c>
      <c r="K9" s="145">
        <f>8.2*1000/xrates!C4415</f>
        <v>57.783101966034813</v>
      </c>
      <c r="L9" s="146">
        <f>6*1000/xrates!C4415</f>
        <v>42.280318511732787</v>
      </c>
      <c r="M9" s="145">
        <f>5.6*1000/xrates!C4415</f>
        <v>39.461630610950607</v>
      </c>
      <c r="N9" s="145">
        <f>1.1*1000/xrates!C4415</f>
        <v>7.7513917271510113</v>
      </c>
      <c r="O9" s="146">
        <f>4.5*1000/xrates!C4415</f>
        <v>31.71023888379959</v>
      </c>
    </row>
    <row r="12" spans="1:15" ht="35.4" customHeight="1" x14ac:dyDescent="0.3">
      <c r="A12" s="49" t="s">
        <v>42</v>
      </c>
      <c r="B12" s="160" t="s">
        <v>50</v>
      </c>
      <c r="C12" s="160"/>
      <c r="D12" s="160"/>
      <c r="E12" s="160"/>
      <c r="F12" s="160"/>
      <c r="G12" s="160"/>
      <c r="H12" s="160"/>
      <c r="I12" s="160"/>
      <c r="J12" s="160"/>
      <c r="K12" s="160"/>
      <c r="L12" s="160"/>
      <c r="M12" s="160"/>
      <c r="N12" s="160"/>
      <c r="O12" s="160"/>
    </row>
    <row r="15" spans="1:15" ht="23.4" x14ac:dyDescent="0.45">
      <c r="G15" s="164" t="s">
        <v>273</v>
      </c>
      <c r="H15" s="164"/>
      <c r="I15" s="164"/>
      <c r="J15" s="159"/>
    </row>
    <row r="17" spans="1:13" ht="14.4" customHeight="1" x14ac:dyDescent="0.3">
      <c r="A17" s="161" t="s">
        <v>0</v>
      </c>
      <c r="B17" s="168" t="s">
        <v>25</v>
      </c>
      <c r="C17" s="171"/>
      <c r="D17" s="171"/>
      <c r="E17" s="168" t="s">
        <v>26</v>
      </c>
      <c r="F17" s="172"/>
      <c r="G17" s="168" t="s">
        <v>260</v>
      </c>
      <c r="H17" s="171"/>
      <c r="I17" s="172"/>
      <c r="K17" s="152"/>
      <c r="L17" s="138"/>
      <c r="M17" s="152"/>
    </row>
    <row r="18" spans="1:13" ht="14.4" customHeight="1" x14ac:dyDescent="0.3">
      <c r="A18" s="162"/>
      <c r="B18" s="110" t="s">
        <v>11</v>
      </c>
      <c r="C18" s="111" t="s">
        <v>5</v>
      </c>
      <c r="D18" s="111" t="s">
        <v>15</v>
      </c>
      <c r="E18" s="110" t="s">
        <v>5</v>
      </c>
      <c r="F18" s="111" t="s">
        <v>15</v>
      </c>
      <c r="G18" s="110" t="s">
        <v>11</v>
      </c>
      <c r="H18" s="111" t="s">
        <v>5</v>
      </c>
      <c r="I18" s="112" t="s">
        <v>15</v>
      </c>
      <c r="K18" s="152"/>
      <c r="L18" s="153"/>
      <c r="M18" s="152"/>
    </row>
    <row r="19" spans="1:13" x14ac:dyDescent="0.3">
      <c r="A19" s="108">
        <v>2018</v>
      </c>
      <c r="B19" s="25">
        <v>630298</v>
      </c>
      <c r="C19" s="95">
        <v>611770</v>
      </c>
      <c r="D19" s="95">
        <v>18528</v>
      </c>
      <c r="E19" s="25">
        <v>279232</v>
      </c>
      <c r="F19" s="95">
        <v>3333</v>
      </c>
      <c r="G19" s="25">
        <f>262/xrates!C3023</f>
        <v>30.149597238204834</v>
      </c>
      <c r="H19" s="95">
        <f>74/xrates!C3023</f>
        <v>8.5155350978135793</v>
      </c>
      <c r="I19" s="36">
        <f>188/xrates!C3023</f>
        <v>21.634062140391254</v>
      </c>
      <c r="K19" s="152"/>
      <c r="L19" s="95"/>
      <c r="M19" s="152"/>
    </row>
    <row r="20" spans="1:13" x14ac:dyDescent="0.3">
      <c r="A20" s="108">
        <v>2019</v>
      </c>
      <c r="B20" s="25">
        <v>745961</v>
      </c>
      <c r="C20" s="95">
        <v>726144</v>
      </c>
      <c r="D20" s="95">
        <v>19817</v>
      </c>
      <c r="E20" s="25">
        <v>328325</v>
      </c>
      <c r="F20" s="95">
        <v>3613</v>
      </c>
      <c r="G20" s="25">
        <f>342/xrates!C3024</f>
        <v>38.95216400911162</v>
      </c>
      <c r="H20" s="95">
        <f>85/xrates!C3024</f>
        <v>9.6810933940774486</v>
      </c>
      <c r="I20" s="36">
        <f>257/xrates!C3024</f>
        <v>29.271070615034169</v>
      </c>
      <c r="K20" s="152"/>
      <c r="L20" s="95"/>
      <c r="M20" s="152"/>
    </row>
    <row r="21" spans="1:13" x14ac:dyDescent="0.3">
      <c r="A21" s="108">
        <v>2020</v>
      </c>
      <c r="B21" s="25">
        <v>899990</v>
      </c>
      <c r="C21" s="95">
        <v>878246</v>
      </c>
      <c r="D21" s="95">
        <v>21744</v>
      </c>
      <c r="E21" s="25">
        <v>383756</v>
      </c>
      <c r="F21" s="95">
        <v>4487</v>
      </c>
      <c r="G21" s="25">
        <f>497/xrates!C3025</f>
        <v>58.264947245017588</v>
      </c>
      <c r="H21" s="95">
        <f>100/xrates!C3025</f>
        <v>11.723329425556859</v>
      </c>
      <c r="I21" s="36">
        <f>405/xrates!C3025</f>
        <v>47.479484173505277</v>
      </c>
      <c r="K21" s="152"/>
      <c r="L21" s="95"/>
      <c r="M21" s="152"/>
    </row>
    <row r="22" spans="1:13" x14ac:dyDescent="0.3">
      <c r="A22" s="108">
        <v>2021</v>
      </c>
      <c r="B22" s="25">
        <v>980287</v>
      </c>
      <c r="C22" s="95">
        <v>959345</v>
      </c>
      <c r="D22" s="95">
        <v>20942</v>
      </c>
      <c r="E22" s="25">
        <v>456115</v>
      </c>
      <c r="F22" s="95">
        <v>4544</v>
      </c>
      <c r="G22" s="25">
        <f>519/xrates!C3026</f>
        <v>58.843537414965986</v>
      </c>
      <c r="H22" s="95">
        <f>114/xrates!C3026</f>
        <v>12.92517006802721</v>
      </c>
      <c r="I22" s="36">
        <f>405/xrates!C3026</f>
        <v>45.918367346938773</v>
      </c>
      <c r="K22" s="152"/>
      <c r="L22" s="95"/>
      <c r="M22" s="152"/>
    </row>
    <row r="23" spans="1:13" x14ac:dyDescent="0.3">
      <c r="A23" s="108">
        <v>2022</v>
      </c>
      <c r="B23" s="25">
        <v>1157090</v>
      </c>
      <c r="C23" s="95">
        <v>1134503</v>
      </c>
      <c r="D23" s="95">
        <v>22587</v>
      </c>
      <c r="E23" s="25">
        <v>534142</v>
      </c>
      <c r="F23" s="95">
        <v>5381</v>
      </c>
      <c r="G23" s="25">
        <f>570/xrates!C3027</f>
        <v>57.809330628803252</v>
      </c>
      <c r="H23" s="95">
        <f>119/xrates!C3027</f>
        <v>12.068965517241381</v>
      </c>
      <c r="I23" s="36">
        <f>451/xrates!C3027</f>
        <v>45.740365111561871</v>
      </c>
      <c r="K23" s="152"/>
      <c r="L23" s="95"/>
      <c r="M23" s="152"/>
    </row>
    <row r="24" spans="1:13" x14ac:dyDescent="0.3">
      <c r="A24" s="109">
        <v>2023</v>
      </c>
      <c r="B24" s="28">
        <v>1277496</v>
      </c>
      <c r="C24" s="37">
        <v>1251770</v>
      </c>
      <c r="D24" s="37">
        <v>25726</v>
      </c>
      <c r="E24" s="28">
        <v>596681</v>
      </c>
      <c r="F24" s="37">
        <v>6779</v>
      </c>
      <c r="G24" s="147">
        <f>606/xrates!C4416</f>
        <v>59.587020648967552</v>
      </c>
      <c r="H24" s="148">
        <f>116/xrates!C4416</f>
        <v>11.406096361848574</v>
      </c>
      <c r="I24" s="149">
        <f>490/xrates!C4416</f>
        <v>48.180924287118977</v>
      </c>
      <c r="K24" s="152"/>
      <c r="L24" s="154"/>
      <c r="M24" s="152"/>
    </row>
    <row r="25" spans="1:13" x14ac:dyDescent="0.3">
      <c r="K25" s="152"/>
      <c r="L25" s="152"/>
      <c r="M25" s="152"/>
    </row>
    <row r="26" spans="1:13" x14ac:dyDescent="0.3">
      <c r="K26" s="152"/>
      <c r="L26" s="152"/>
      <c r="M26" s="152"/>
    </row>
    <row r="27" spans="1:13" x14ac:dyDescent="0.3">
      <c r="A27" t="s">
        <v>42</v>
      </c>
      <c r="B27" t="s">
        <v>57</v>
      </c>
      <c r="K27" s="152"/>
      <c r="L27" s="152"/>
      <c r="M27" s="152"/>
    </row>
  </sheetData>
  <mergeCells count="14">
    <mergeCell ref="G17:I17"/>
    <mergeCell ref="E17:F17"/>
    <mergeCell ref="G15:I15"/>
    <mergeCell ref="B12:O12"/>
    <mergeCell ref="A1:A3"/>
    <mergeCell ref="H1:I2"/>
    <mergeCell ref="J2:L2"/>
    <mergeCell ref="M2:O2"/>
    <mergeCell ref="J1:O1"/>
    <mergeCell ref="B2:D2"/>
    <mergeCell ref="E2:G2"/>
    <mergeCell ref="B1:G1"/>
    <mergeCell ref="A17:A18"/>
    <mergeCell ref="B17:D17"/>
  </mergeCells>
  <hyperlinks>
    <hyperlink ref="B12" r:id="rId1" display="https://www.nta.go.jp/information/release/ " xr:uid="{0C85B490-E985-484C-B07B-4E6F3A380C79}"/>
  </hyperlinks>
  <pageMargins left="0.55833333333333335" right="0.7" top="0.75" bottom="0.75" header="0.3" footer="0.3"/>
  <pageSetup paperSize="9" orientation="landscape" r:id="rId2"/>
  <headerFooter>
    <oddHeader>&amp;C&amp;"-,Gras"&amp;18(JPN) Japan</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084F3-17DA-4171-82F9-2CC4C513DC3C}">
  <dimension ref="A4:I13"/>
  <sheetViews>
    <sheetView showGridLines="0" view="pageLayout" zoomScaleNormal="100" workbookViewId="0">
      <selection activeCell="B9" sqref="B9:H10"/>
    </sheetView>
  </sheetViews>
  <sheetFormatPr baseColWidth="10" defaultColWidth="10.88671875" defaultRowHeight="14.4" x14ac:dyDescent="0.3"/>
  <cols>
    <col min="1" max="1" width="7.21875" customWidth="1"/>
    <col min="3" max="3" width="19.44140625" customWidth="1"/>
    <col min="4" max="4" width="25.77734375" customWidth="1"/>
    <col min="7" max="7" width="14.77734375" bestFit="1" customWidth="1"/>
    <col min="9" max="9" width="14.44140625" bestFit="1" customWidth="1"/>
  </cols>
  <sheetData>
    <row r="4" spans="1:9" ht="14.4" customHeight="1" x14ac:dyDescent="0.3">
      <c r="A4" s="75" t="s">
        <v>9</v>
      </c>
      <c r="B4" s="76" t="s">
        <v>0</v>
      </c>
      <c r="C4" s="58" t="s">
        <v>1</v>
      </c>
      <c r="D4" s="77" t="s">
        <v>259</v>
      </c>
    </row>
    <row r="5" spans="1:9" x14ac:dyDescent="0.3">
      <c r="A5" s="52" t="s">
        <v>8</v>
      </c>
      <c r="B5" s="82">
        <v>2017</v>
      </c>
      <c r="C5" s="53">
        <v>254456</v>
      </c>
      <c r="D5" s="78">
        <f>10.00750340671/xrates!C1460</f>
        <v>12.001998809394928</v>
      </c>
      <c r="I5" s="7"/>
    </row>
    <row r="6" spans="1:9" x14ac:dyDescent="0.3">
      <c r="A6" s="52" t="s">
        <v>8</v>
      </c>
      <c r="B6" s="82">
        <v>2018</v>
      </c>
      <c r="C6" s="53">
        <v>900723</v>
      </c>
      <c r="D6" s="78">
        <f>22.58350646414/xrates!C1461</f>
        <v>25.858114765685198</v>
      </c>
    </row>
    <row r="7" spans="1:9" x14ac:dyDescent="0.3">
      <c r="A7" s="52" t="s">
        <v>8</v>
      </c>
      <c r="B7" s="82">
        <v>2019</v>
      </c>
      <c r="C7" s="53">
        <v>960120</v>
      </c>
      <c r="D7" s="78">
        <f>80.02749440098/xrates!C1462</f>
        <v>89.902886902053638</v>
      </c>
    </row>
    <row r="8" spans="1:9" x14ac:dyDescent="0.3">
      <c r="A8" s="52" t="s">
        <v>8</v>
      </c>
      <c r="B8" s="82">
        <v>2020</v>
      </c>
      <c r="C8" s="53">
        <v>1008722</v>
      </c>
      <c r="D8" s="78">
        <f>25.81262240147/xrates!C1463</f>
        <v>31.674668894331731</v>
      </c>
    </row>
    <row r="9" spans="1:9" x14ac:dyDescent="0.3">
      <c r="A9" s="52" t="s">
        <v>8</v>
      </c>
      <c r="B9" s="82">
        <v>2021</v>
      </c>
      <c r="C9" s="53">
        <v>2277358</v>
      </c>
      <c r="D9" s="78">
        <f>40.24125259711/xrates!C1464</f>
        <v>45.577242438533091</v>
      </c>
    </row>
    <row r="10" spans="1:9" x14ac:dyDescent="0.3">
      <c r="A10" s="18" t="s">
        <v>8</v>
      </c>
      <c r="B10" s="83">
        <v>2022</v>
      </c>
      <c r="C10" s="29">
        <v>1350017</v>
      </c>
      <c r="D10" s="84">
        <f>40.57312867485/xrates!C1465</f>
        <v>43.275298925155184</v>
      </c>
    </row>
    <row r="13" spans="1:9" x14ac:dyDescent="0.3">
      <c r="A13" t="s">
        <v>42</v>
      </c>
      <c r="B13" t="s">
        <v>51</v>
      </c>
    </row>
  </sheetData>
  <pageMargins left="0.7" right="0.7" top="0.75" bottom="0.75" header="0.3" footer="0.3"/>
  <pageSetup paperSize="9" orientation="landscape" r:id="rId1"/>
  <headerFooter>
    <oddHeader>&amp;C&amp;"-,Gras"&amp;18(POL) Poland</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A3B30-48C8-402B-AFFD-5CBEE0CFDA59}">
  <dimension ref="A1:T37"/>
  <sheetViews>
    <sheetView showGridLines="0" view="pageLayout" zoomScale="85" zoomScaleNormal="70" zoomScalePageLayoutView="85" workbookViewId="0">
      <selection activeCell="B9" sqref="B9:H10"/>
    </sheetView>
  </sheetViews>
  <sheetFormatPr baseColWidth="10" defaultColWidth="11.5546875" defaultRowHeight="14.4" x14ac:dyDescent="0.3"/>
  <cols>
    <col min="1" max="1" width="11.21875" style="114" customWidth="1"/>
    <col min="2" max="2" width="10.109375" style="114" customWidth="1"/>
    <col min="3" max="3" width="9.88671875" style="114" customWidth="1"/>
    <col min="4" max="4" width="16.6640625" style="114" customWidth="1"/>
    <col min="5" max="5" width="9.21875" style="114" customWidth="1"/>
    <col min="6" max="6" width="9.88671875" style="114" customWidth="1"/>
    <col min="7" max="7" width="17.21875" style="114" customWidth="1"/>
    <col min="8" max="8" width="7.44140625" style="114" customWidth="1"/>
    <col min="9" max="9" width="10.109375" style="114" customWidth="1"/>
    <col min="10" max="10" width="16.5546875" style="114" customWidth="1"/>
    <col min="11" max="11" width="9.44140625" style="114" customWidth="1"/>
    <col min="12" max="12" width="7" style="114" customWidth="1"/>
    <col min="13" max="13" width="12.33203125" style="114" customWidth="1"/>
    <col min="14" max="15" width="11.5546875" style="114"/>
    <col min="16" max="16" width="8.6640625" style="114" customWidth="1"/>
    <col min="17" max="17" width="7.33203125" style="114" customWidth="1"/>
    <col min="18" max="16384" width="11.5546875" style="114"/>
  </cols>
  <sheetData>
    <row r="1" spans="1:12" ht="14.4" customHeight="1" x14ac:dyDescent="0.3">
      <c r="A1" s="161" t="s">
        <v>9</v>
      </c>
      <c r="B1" s="161" t="s">
        <v>0</v>
      </c>
      <c r="C1" s="198" t="s">
        <v>1</v>
      </c>
      <c r="D1" s="199"/>
      <c r="E1" s="200"/>
      <c r="F1" s="198" t="s">
        <v>21</v>
      </c>
      <c r="G1" s="199"/>
      <c r="H1" s="200"/>
      <c r="I1" s="198" t="s">
        <v>259</v>
      </c>
      <c r="J1" s="199"/>
      <c r="K1" s="200"/>
      <c r="L1" s="113"/>
    </row>
    <row r="2" spans="1:12" ht="14.4" customHeight="1" x14ac:dyDescent="0.3">
      <c r="A2" s="180"/>
      <c r="B2" s="180"/>
      <c r="C2" s="195" t="s">
        <v>5</v>
      </c>
      <c r="D2" s="195" t="s">
        <v>15</v>
      </c>
      <c r="E2" s="196"/>
      <c r="F2" s="195" t="s">
        <v>5</v>
      </c>
      <c r="G2" s="195" t="s">
        <v>15</v>
      </c>
      <c r="H2" s="196"/>
      <c r="I2" s="201" t="s">
        <v>5</v>
      </c>
      <c r="J2" s="195" t="s">
        <v>15</v>
      </c>
      <c r="K2" s="196"/>
      <c r="L2" s="115"/>
    </row>
    <row r="3" spans="1:12" ht="14.4" customHeight="1" x14ac:dyDescent="0.3">
      <c r="A3" s="180"/>
      <c r="B3" s="180"/>
      <c r="C3" s="195"/>
      <c r="D3" s="115" t="s">
        <v>262</v>
      </c>
      <c r="E3" s="116" t="s">
        <v>12</v>
      </c>
      <c r="F3" s="195"/>
      <c r="G3" s="115" t="s">
        <v>262</v>
      </c>
      <c r="H3" s="116" t="s">
        <v>12</v>
      </c>
      <c r="I3" s="202"/>
      <c r="J3" s="117" t="s">
        <v>262</v>
      </c>
      <c r="K3" s="118" t="s">
        <v>12</v>
      </c>
      <c r="L3" s="115"/>
    </row>
    <row r="4" spans="1:12" x14ac:dyDescent="0.3">
      <c r="A4" s="119" t="s">
        <v>8</v>
      </c>
      <c r="B4" s="192">
        <v>2016</v>
      </c>
      <c r="C4" s="120">
        <v>28259</v>
      </c>
      <c r="D4" s="120">
        <v>908</v>
      </c>
      <c r="E4" s="121">
        <v>116</v>
      </c>
      <c r="F4" s="120">
        <v>16314</v>
      </c>
      <c r="G4" s="120">
        <v>509</v>
      </c>
      <c r="H4" s="121">
        <v>86</v>
      </c>
      <c r="I4" s="122">
        <f>0.3783449801/xrates!C1459</f>
        <v>0.39881344190422746</v>
      </c>
      <c r="J4" s="123">
        <f>0.19663437258/xrates!C1459</f>
        <v>0.20727229129505251</v>
      </c>
      <c r="K4" s="124">
        <f>0.01658436195/xrates!C1459</f>
        <v>1.7481575860519804E-2</v>
      </c>
      <c r="L4" s="125"/>
    </row>
    <row r="5" spans="1:12" x14ac:dyDescent="0.3">
      <c r="A5" s="126" t="s">
        <v>16</v>
      </c>
      <c r="B5" s="193"/>
      <c r="C5" s="127">
        <v>3695</v>
      </c>
      <c r="D5" s="127">
        <v>140</v>
      </c>
      <c r="E5" s="128">
        <v>28</v>
      </c>
      <c r="F5" s="127">
        <v>2498</v>
      </c>
      <c r="G5" s="127">
        <v>100</v>
      </c>
      <c r="H5" s="128">
        <v>20</v>
      </c>
      <c r="I5" s="122">
        <f>0.07746548971/xrates!C1459</f>
        <v>8.1656372371786135E-2</v>
      </c>
      <c r="J5" s="123">
        <f>0.01451452993/xrates!C1459</f>
        <v>1.5299765937095951E-2</v>
      </c>
      <c r="K5" s="124">
        <f>0.01584986527/xrates!C1459</f>
        <v>1.6707342913275188E-2</v>
      </c>
      <c r="L5" s="125"/>
    </row>
    <row r="6" spans="1:12" x14ac:dyDescent="0.3">
      <c r="A6" s="129" t="s">
        <v>8</v>
      </c>
      <c r="B6" s="197">
        <v>2017</v>
      </c>
      <c r="C6" s="125">
        <v>89995</v>
      </c>
      <c r="D6" s="125">
        <v>2443</v>
      </c>
      <c r="E6" s="130">
        <v>410</v>
      </c>
      <c r="F6" s="125">
        <v>50527</v>
      </c>
      <c r="G6" s="125">
        <v>1266</v>
      </c>
      <c r="H6" s="130">
        <v>258</v>
      </c>
      <c r="I6" s="131">
        <f>1.50195744557/xrates!C1460</f>
        <v>1.8012975605290606</v>
      </c>
      <c r="J6" s="132">
        <f>0.7303021178/xrates!C1460</f>
        <v>0.87585132796030141</v>
      </c>
      <c r="K6" s="133">
        <f>0.22136049818/xrates!C1460</f>
        <v>0.26547764488614345</v>
      </c>
      <c r="L6" s="125"/>
    </row>
    <row r="7" spans="1:12" x14ac:dyDescent="0.3">
      <c r="A7" s="129" t="s">
        <v>16</v>
      </c>
      <c r="B7" s="197"/>
      <c r="C7" s="125">
        <v>37014</v>
      </c>
      <c r="D7" s="125">
        <v>1031</v>
      </c>
      <c r="E7" s="130">
        <v>141</v>
      </c>
      <c r="F7" s="125">
        <v>20596</v>
      </c>
      <c r="G7" s="125">
        <v>592</v>
      </c>
      <c r="H7" s="130">
        <v>77</v>
      </c>
      <c r="I7" s="134">
        <f>0.96430630719/xrates!C1460</f>
        <v>1.1564925516814049</v>
      </c>
      <c r="J7" s="135">
        <f>0.52535048361/xrates!C1460</f>
        <v>0.63005283361428743</v>
      </c>
      <c r="K7" s="136">
        <f>0.17149838147/xrates!C1460</f>
        <v>0.20567800844674183</v>
      </c>
      <c r="L7" s="125"/>
    </row>
    <row r="8" spans="1:12" x14ac:dyDescent="0.3">
      <c r="A8" s="119" t="s">
        <v>8</v>
      </c>
      <c r="B8" s="192">
        <v>2018</v>
      </c>
      <c r="C8" s="120">
        <v>160866</v>
      </c>
      <c r="D8" s="120">
        <v>2795</v>
      </c>
      <c r="E8" s="121">
        <v>602</v>
      </c>
      <c r="F8" s="120">
        <v>95918</v>
      </c>
      <c r="G8" s="120">
        <v>1554</v>
      </c>
      <c r="H8" s="121">
        <v>332</v>
      </c>
      <c r="I8" s="122">
        <f>1.80170178842/xrates!C1461</f>
        <v>2.0629485369104201</v>
      </c>
      <c r="J8" s="123">
        <f>0.81976429305/xrates!C1461</f>
        <v>0.9386301106144419</v>
      </c>
      <c r="K8" s="124">
        <f>0.24644838629/xrates!C1461</f>
        <v>0.28218340082058713</v>
      </c>
      <c r="L8" s="125"/>
    </row>
    <row r="9" spans="1:12" x14ac:dyDescent="0.3">
      <c r="A9" s="126" t="s">
        <v>16</v>
      </c>
      <c r="B9" s="193"/>
      <c r="C9" s="127">
        <v>89057</v>
      </c>
      <c r="D9" s="127">
        <v>1404</v>
      </c>
      <c r="E9" s="128">
        <v>293</v>
      </c>
      <c r="F9" s="127">
        <v>54437</v>
      </c>
      <c r="G9" s="127">
        <v>1004</v>
      </c>
      <c r="H9" s="128">
        <v>157</v>
      </c>
      <c r="I9" s="122">
        <f>1.22770709382/xrates!C1461</f>
        <v>1.4057246150438458</v>
      </c>
      <c r="J9" s="123">
        <f>0.50443999824/xrates!C1461</f>
        <v>0.57758379495248502</v>
      </c>
      <c r="K9" s="124">
        <f>0.22165548219/xrates!C1461</f>
        <v>0.25379552577512349</v>
      </c>
      <c r="L9" s="125"/>
    </row>
    <row r="10" spans="1:12" x14ac:dyDescent="0.3">
      <c r="A10" s="119" t="s">
        <v>8</v>
      </c>
      <c r="B10" s="192">
        <v>2019</v>
      </c>
      <c r="C10" s="120">
        <v>172038</v>
      </c>
      <c r="D10" s="120">
        <v>2995</v>
      </c>
      <c r="E10" s="121">
        <v>708</v>
      </c>
      <c r="F10" s="120">
        <v>104127</v>
      </c>
      <c r="G10" s="120">
        <v>1684</v>
      </c>
      <c r="H10" s="121">
        <v>433</v>
      </c>
      <c r="I10" s="131">
        <f>1.97628692097/xrates!C1462</f>
        <v>2.2201607194114272</v>
      </c>
      <c r="J10" s="132">
        <f>1.13185577634/xrates!C1462</f>
        <v>1.271526774784105</v>
      </c>
      <c r="K10" s="133">
        <f>0.25236480297/xrates!C1462</f>
        <v>0.28350661868520433</v>
      </c>
      <c r="L10" s="125"/>
    </row>
    <row r="11" spans="1:12" x14ac:dyDescent="0.3">
      <c r="A11" s="126" t="s">
        <v>16</v>
      </c>
      <c r="B11" s="193"/>
      <c r="C11" s="127">
        <v>86805</v>
      </c>
      <c r="D11" s="127">
        <v>1537</v>
      </c>
      <c r="E11" s="128">
        <v>297</v>
      </c>
      <c r="F11" s="127">
        <v>52045</v>
      </c>
      <c r="G11" s="127">
        <v>1089</v>
      </c>
      <c r="H11" s="128">
        <v>182</v>
      </c>
      <c r="I11" s="134">
        <f>1.32007620028/xrates!C1462</f>
        <v>1.4829735983138843</v>
      </c>
      <c r="J11" s="135">
        <f>0.48746238447/xrates!C1462</f>
        <v>0.54761524083746815</v>
      </c>
      <c r="K11" s="136">
        <f>0.23826838406/xrates!C1462</f>
        <v>0.26767070173596419</v>
      </c>
      <c r="L11" s="125"/>
    </row>
    <row r="12" spans="1:12" x14ac:dyDescent="0.3">
      <c r="A12" s="129" t="s">
        <v>8</v>
      </c>
      <c r="B12" s="197">
        <v>2020</v>
      </c>
      <c r="C12" s="125">
        <v>226068</v>
      </c>
      <c r="D12" s="125">
        <v>3683</v>
      </c>
      <c r="E12" s="130">
        <v>702</v>
      </c>
      <c r="F12" s="125">
        <v>146485</v>
      </c>
      <c r="G12" s="125">
        <v>2431</v>
      </c>
      <c r="H12" s="130">
        <v>480</v>
      </c>
      <c r="I12" s="122">
        <f>2.37762743606998/xrates!C1463</f>
        <v>2.9175866217803059</v>
      </c>
      <c r="J12" s="123">
        <f>1.45878900867/xrates!C1463</f>
        <v>1.7900799894582293</v>
      </c>
      <c r="K12" s="124">
        <f>0.34531400868/xrates!C1463</f>
        <v>0.42373481932198037</v>
      </c>
      <c r="L12" s="125"/>
    </row>
    <row r="13" spans="1:12" x14ac:dyDescent="0.3">
      <c r="A13" s="129" t="s">
        <v>16</v>
      </c>
      <c r="B13" s="197"/>
      <c r="C13" s="125">
        <v>92066</v>
      </c>
      <c r="D13" s="125">
        <v>1526</v>
      </c>
      <c r="E13" s="130">
        <v>333</v>
      </c>
      <c r="F13" s="125">
        <v>57185</v>
      </c>
      <c r="G13" s="125">
        <v>1059</v>
      </c>
      <c r="H13" s="130">
        <v>182</v>
      </c>
      <c r="I13" s="122">
        <f>1.64746606875/xrates!C1463</f>
        <v>2.0216056094839416</v>
      </c>
      <c r="J13" s="123">
        <f>0.53114718172/xrates!C1463</f>
        <v>0.65177070556691452</v>
      </c>
      <c r="K13" s="124">
        <f>0.3103924146/xrates!C1463</f>
        <v>0.38088253130016114</v>
      </c>
      <c r="L13" s="125"/>
    </row>
    <row r="14" spans="1:12" x14ac:dyDescent="0.3">
      <c r="A14" s="119" t="s">
        <v>8</v>
      </c>
      <c r="B14" s="192">
        <v>2021</v>
      </c>
      <c r="C14" s="120">
        <v>289124</v>
      </c>
      <c r="D14" s="120">
        <v>4731</v>
      </c>
      <c r="E14" s="121">
        <v>854</v>
      </c>
      <c r="F14" s="120">
        <v>173217</v>
      </c>
      <c r="G14" s="120">
        <v>2946</v>
      </c>
      <c r="H14" s="121">
        <v>544</v>
      </c>
      <c r="I14" s="131">
        <f>3.04709005084999/xrates!C1464</f>
        <v>3.4511341724389042</v>
      </c>
      <c r="J14" s="132">
        <f>1.60454805638/xrates!C1464</f>
        <v>1.8173111185699116</v>
      </c>
      <c r="K14" s="133">
        <f>0.591722173960001/xrates!C1464</f>
        <v>0.6701845305075731</v>
      </c>
      <c r="L14" s="125"/>
    </row>
    <row r="15" spans="1:12" x14ac:dyDescent="0.3">
      <c r="A15" s="126" t="s">
        <v>16</v>
      </c>
      <c r="B15" s="193"/>
      <c r="C15" s="127">
        <v>98741</v>
      </c>
      <c r="D15" s="127">
        <v>1561</v>
      </c>
      <c r="E15" s="128">
        <v>354</v>
      </c>
      <c r="F15" s="127">
        <v>60975</v>
      </c>
      <c r="G15" s="127">
        <v>1078</v>
      </c>
      <c r="H15" s="128">
        <v>203</v>
      </c>
      <c r="I15" s="134">
        <f>1.86969190365/xrates!C1464</f>
        <v>2.1176130383212377</v>
      </c>
      <c r="J15" s="135">
        <f>0.41774353386/xrates!C1464</f>
        <v>0.47313632382392945</v>
      </c>
      <c r="K15" s="136">
        <f>0.508721398169999/xrates!C1464</f>
        <v>0.57617785236955377</v>
      </c>
      <c r="L15" s="125"/>
    </row>
    <row r="16" spans="1:12" x14ac:dyDescent="0.3">
      <c r="A16" s="119" t="s">
        <v>8</v>
      </c>
      <c r="B16" s="192">
        <v>2022</v>
      </c>
      <c r="C16" s="120">
        <v>275573</v>
      </c>
      <c r="D16" s="120">
        <v>4609</v>
      </c>
      <c r="E16" s="121">
        <v>1130</v>
      </c>
      <c r="F16" s="120">
        <v>173421</v>
      </c>
      <c r="G16" s="120">
        <v>2651</v>
      </c>
      <c r="H16" s="121">
        <v>668</v>
      </c>
      <c r="I16" s="131">
        <f>2.80522096985001/xrates!C1465</f>
        <v>2.9920486781839664</v>
      </c>
      <c r="J16" s="132">
        <f>1.655744754/xrates!C1465</f>
        <v>1.7660173497421923</v>
      </c>
      <c r="K16" s="133">
        <f>0.676722657339999/xrates!C1465</f>
        <v>0.72179238432669601</v>
      </c>
      <c r="L16" s="125"/>
    </row>
    <row r="17" spans="1:12" x14ac:dyDescent="0.3">
      <c r="A17" s="126" t="s">
        <v>16</v>
      </c>
      <c r="B17" s="193"/>
      <c r="C17" s="127">
        <v>98095</v>
      </c>
      <c r="D17" s="127">
        <v>1569</v>
      </c>
      <c r="E17" s="128">
        <v>406</v>
      </c>
      <c r="F17" s="127">
        <v>63146</v>
      </c>
      <c r="G17" s="127">
        <v>1089</v>
      </c>
      <c r="H17" s="128">
        <v>224</v>
      </c>
      <c r="I17" s="134">
        <f>1.79508262712001/xrates!C1465</f>
        <v>1.9146351248018096</v>
      </c>
      <c r="J17" s="135">
        <f>0.30562779483/xrates!C1465</f>
        <v>0.32598260506596605</v>
      </c>
      <c r="K17" s="136">
        <f>0.38219505146/xrates!C1465</f>
        <v>0.40764924076212405</v>
      </c>
      <c r="L17" s="125"/>
    </row>
    <row r="18" spans="1:12" ht="14.4" customHeight="1" x14ac:dyDescent="0.3">
      <c r="I18" s="137"/>
      <c r="J18" s="137"/>
      <c r="K18" s="137"/>
      <c r="L18" s="137"/>
    </row>
    <row r="19" spans="1:12" ht="12.6" customHeight="1" x14ac:dyDescent="0.3">
      <c r="A19" s="138"/>
      <c r="B19" s="138"/>
      <c r="C19" s="138"/>
      <c r="D19" s="138"/>
      <c r="E19" s="138"/>
      <c r="G19" s="139"/>
      <c r="H19" s="137"/>
      <c r="I19" s="137"/>
      <c r="J19" s="137"/>
      <c r="K19" s="137"/>
      <c r="L19" s="137"/>
    </row>
    <row r="20" spans="1:12" ht="100.2" customHeight="1" x14ac:dyDescent="0.3">
      <c r="A20" s="140" t="s">
        <v>39</v>
      </c>
      <c r="B20" s="194" t="s">
        <v>52</v>
      </c>
      <c r="C20" s="194"/>
      <c r="D20" s="194"/>
      <c r="E20" s="194"/>
      <c r="F20" s="194"/>
      <c r="G20" s="194"/>
      <c r="H20" s="194"/>
      <c r="I20" s="194"/>
      <c r="J20" s="194"/>
      <c r="K20" s="194"/>
      <c r="L20" s="141"/>
    </row>
    <row r="21" spans="1:12" ht="28.2" customHeight="1" x14ac:dyDescent="0.3">
      <c r="A21" s="142" t="s">
        <v>42</v>
      </c>
      <c r="B21" s="194" t="s">
        <v>40</v>
      </c>
      <c r="C21" s="194"/>
      <c r="D21" s="194"/>
      <c r="E21" s="194"/>
      <c r="F21" s="194"/>
      <c r="G21" s="194"/>
      <c r="H21" s="194"/>
      <c r="I21" s="194"/>
      <c r="J21" s="194"/>
      <c r="K21" s="194"/>
      <c r="L21" s="141"/>
    </row>
    <row r="22" spans="1:12" ht="12.6" customHeight="1" x14ac:dyDescent="0.3">
      <c r="A22" s="138"/>
      <c r="B22" s="138"/>
      <c r="C22" s="138"/>
      <c r="D22" s="138"/>
      <c r="E22" s="138"/>
      <c r="G22" s="139"/>
      <c r="H22" s="137"/>
      <c r="I22" s="137"/>
      <c r="J22" s="137"/>
      <c r="K22" s="137"/>
      <c r="L22" s="137"/>
    </row>
    <row r="23" spans="1:12" ht="14.4" customHeight="1" x14ac:dyDescent="0.3">
      <c r="A23" s="138"/>
      <c r="B23" s="138"/>
      <c r="C23" s="138"/>
      <c r="D23" s="138"/>
      <c r="E23" s="138"/>
      <c r="G23" s="139"/>
      <c r="H23" s="137"/>
      <c r="I23" s="137"/>
      <c r="J23" s="137"/>
      <c r="K23" s="137"/>
      <c r="L23" s="137"/>
    </row>
    <row r="24" spans="1:12" ht="14.4" customHeight="1" x14ac:dyDescent="0.3">
      <c r="A24" s="138"/>
      <c r="B24" s="138"/>
      <c r="C24" s="138"/>
      <c r="D24" s="138"/>
      <c r="E24" s="138"/>
      <c r="G24" s="139"/>
      <c r="H24" s="137"/>
      <c r="I24" s="137"/>
      <c r="J24" s="137"/>
      <c r="K24" s="137"/>
      <c r="L24" s="137"/>
    </row>
    <row r="25" spans="1:12" ht="12.6" customHeight="1" x14ac:dyDescent="0.3">
      <c r="A25" s="138"/>
      <c r="B25" s="138"/>
      <c r="C25" s="138"/>
      <c r="D25" s="138"/>
      <c r="E25" s="138"/>
      <c r="G25" s="139"/>
      <c r="H25" s="137"/>
      <c r="I25" s="137"/>
      <c r="J25" s="137"/>
      <c r="K25" s="137"/>
      <c r="L25" s="137"/>
    </row>
    <row r="26" spans="1:12" ht="12.6" customHeight="1" x14ac:dyDescent="0.3">
      <c r="A26" s="138"/>
      <c r="B26" s="138"/>
      <c r="C26" s="138"/>
      <c r="D26" s="138"/>
      <c r="E26" s="138"/>
      <c r="G26" s="139"/>
      <c r="H26" s="137"/>
      <c r="I26" s="137"/>
      <c r="J26" s="137"/>
      <c r="K26" s="137"/>
      <c r="L26" s="137"/>
    </row>
    <row r="27" spans="1:12" ht="12.6" customHeight="1" x14ac:dyDescent="0.3">
      <c r="A27" s="138"/>
      <c r="B27" s="138"/>
      <c r="C27" s="138"/>
      <c r="D27" s="138"/>
      <c r="E27" s="138"/>
      <c r="G27" s="139"/>
      <c r="H27" s="137"/>
      <c r="I27" s="137"/>
      <c r="J27" s="137"/>
      <c r="K27" s="137"/>
      <c r="L27" s="137"/>
    </row>
    <row r="28" spans="1:12" ht="12.6" customHeight="1" x14ac:dyDescent="0.3">
      <c r="A28" s="138"/>
      <c r="B28" s="138"/>
      <c r="C28" s="138"/>
      <c r="D28" s="138"/>
      <c r="E28" s="138"/>
      <c r="G28" s="139"/>
      <c r="H28" s="137"/>
      <c r="I28" s="137"/>
      <c r="J28" s="137"/>
      <c r="K28" s="137"/>
      <c r="L28" s="137"/>
    </row>
    <row r="29" spans="1:12" ht="12.6" customHeight="1" x14ac:dyDescent="0.3">
      <c r="A29" s="138"/>
      <c r="B29" s="138"/>
      <c r="C29" s="138"/>
      <c r="D29" s="138"/>
      <c r="E29" s="138"/>
      <c r="G29" s="139"/>
      <c r="H29" s="137"/>
      <c r="I29" s="137"/>
      <c r="J29" s="137"/>
      <c r="K29" s="137"/>
      <c r="L29" s="137"/>
    </row>
    <row r="30" spans="1:12" ht="12.6" customHeight="1" x14ac:dyDescent="0.3">
      <c r="A30" s="138"/>
      <c r="B30" s="138"/>
      <c r="C30" s="138"/>
      <c r="D30" s="138"/>
      <c r="E30" s="138"/>
      <c r="G30" s="139"/>
      <c r="H30" s="137"/>
      <c r="I30" s="137"/>
      <c r="J30" s="137"/>
      <c r="K30" s="137"/>
      <c r="L30" s="137"/>
    </row>
    <row r="31" spans="1:12" ht="12.6" customHeight="1" x14ac:dyDescent="0.3">
      <c r="A31" s="138"/>
      <c r="B31" s="138"/>
      <c r="C31" s="138"/>
      <c r="D31" s="138"/>
      <c r="E31" s="138"/>
      <c r="G31" s="139"/>
      <c r="H31" s="137"/>
      <c r="I31" s="137"/>
      <c r="J31" s="137"/>
      <c r="K31" s="137"/>
      <c r="L31" s="137"/>
    </row>
    <row r="32" spans="1:12" ht="12.6" customHeight="1" x14ac:dyDescent="0.3">
      <c r="A32" s="138"/>
      <c r="B32" s="138"/>
      <c r="C32" s="138"/>
      <c r="D32" s="138"/>
      <c r="E32" s="138"/>
      <c r="G32" s="139"/>
      <c r="H32" s="137"/>
      <c r="I32" s="137"/>
      <c r="J32" s="137"/>
      <c r="K32" s="137"/>
      <c r="L32" s="137"/>
    </row>
    <row r="33" spans="1:20" ht="12.6" customHeight="1" x14ac:dyDescent="0.3">
      <c r="A33" s="138"/>
      <c r="B33" s="138"/>
      <c r="C33" s="138"/>
      <c r="D33" s="138"/>
      <c r="E33" s="138"/>
      <c r="I33" s="141"/>
      <c r="J33" s="141"/>
      <c r="K33" s="141"/>
      <c r="L33" s="141"/>
    </row>
    <row r="34" spans="1:20" ht="14.4" customHeight="1" x14ac:dyDescent="0.3">
      <c r="A34" s="138"/>
      <c r="B34" s="138"/>
      <c r="C34" s="138"/>
      <c r="D34" s="138"/>
      <c r="E34" s="138"/>
      <c r="H34" s="141"/>
      <c r="I34" s="141"/>
      <c r="J34" s="141"/>
      <c r="K34" s="141"/>
      <c r="L34" s="141"/>
      <c r="M34" s="141"/>
      <c r="N34" s="141"/>
      <c r="O34" s="141"/>
      <c r="P34" s="141"/>
      <c r="Q34" s="141"/>
      <c r="R34" s="141"/>
      <c r="S34" s="141"/>
      <c r="T34" s="141"/>
    </row>
    <row r="35" spans="1:20" ht="12.6" customHeight="1" x14ac:dyDescent="0.3">
      <c r="A35" s="138"/>
      <c r="B35" s="138"/>
      <c r="C35" s="138"/>
      <c r="D35" s="138"/>
      <c r="E35" s="138"/>
      <c r="H35" s="141"/>
      <c r="I35" s="141"/>
      <c r="J35" s="141"/>
      <c r="K35" s="141"/>
      <c r="L35" s="141"/>
    </row>
    <row r="36" spans="1:20" ht="12.6" customHeight="1" x14ac:dyDescent="0.3">
      <c r="A36" s="138"/>
      <c r="B36" s="138"/>
      <c r="C36" s="138"/>
      <c r="D36" s="138"/>
      <c r="E36" s="138"/>
      <c r="H36" s="141"/>
      <c r="I36" s="141"/>
      <c r="J36" s="141"/>
      <c r="K36" s="141"/>
      <c r="L36" s="141"/>
    </row>
    <row r="37" spans="1:20" ht="12.6" customHeight="1" x14ac:dyDescent="0.3">
      <c r="A37" s="138"/>
      <c r="B37" s="138"/>
      <c r="C37" s="138"/>
      <c r="D37" s="138"/>
      <c r="E37" s="138"/>
      <c r="H37" s="141"/>
      <c r="I37" s="141"/>
      <c r="J37" s="141"/>
      <c r="K37" s="141"/>
      <c r="L37" s="141"/>
    </row>
  </sheetData>
  <mergeCells count="20">
    <mergeCell ref="A1:A3"/>
    <mergeCell ref="B1:B3"/>
    <mergeCell ref="C1:E1"/>
    <mergeCell ref="F1:H1"/>
    <mergeCell ref="I1:K1"/>
    <mergeCell ref="C2:C3"/>
    <mergeCell ref="D2:E2"/>
    <mergeCell ref="F2:F3"/>
    <mergeCell ref="G2:H2"/>
    <mergeCell ref="I2:I3"/>
    <mergeCell ref="B14:B15"/>
    <mergeCell ref="B16:B17"/>
    <mergeCell ref="B20:K20"/>
    <mergeCell ref="B21:K21"/>
    <mergeCell ref="J2:K2"/>
    <mergeCell ref="B4:B5"/>
    <mergeCell ref="B6:B7"/>
    <mergeCell ref="B8:B9"/>
    <mergeCell ref="B10:B11"/>
    <mergeCell ref="B12:B13"/>
  </mergeCells>
  <pageMargins left="0.7" right="0.7" top="0.80392156862745101" bottom="8.3333333333333332E-3" header="0.3" footer="0.3"/>
  <pageSetup paperSize="9" orientation="landscape" r:id="rId1"/>
  <headerFooter>
    <oddHeader>&amp;C&amp;"-,Gras"&amp;18(SVN) Slovenia</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BEL_BRA</vt:lpstr>
      <vt:lpstr>CAN_CZE</vt:lpstr>
      <vt:lpstr>DEU</vt:lpstr>
      <vt:lpstr>DNK</vt:lpstr>
      <vt:lpstr>ESP_EST</vt:lpstr>
      <vt:lpstr>GBR_HUN</vt:lpstr>
      <vt:lpstr>JPN_NOR</vt:lpstr>
      <vt:lpstr>POL</vt:lpstr>
      <vt:lpstr>SVN</vt:lpstr>
      <vt:lpstr>SWE_ZAF</vt:lpstr>
      <vt:lpstr>xrates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Carolina Moura</dc:creator>
  <cp:lastModifiedBy>Carolina Moura</cp:lastModifiedBy>
  <cp:lastPrinted>2025-05-26T15:47:59Z</cp:lastPrinted>
  <dcterms:created xsi:type="dcterms:W3CDTF">2025-05-06T10:29:51Z</dcterms:created>
  <dcterms:modified xsi:type="dcterms:W3CDTF">2025-05-26T15:50:34Z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2025-05-22T15:04:47Z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89e77033-8876-4ceb-8259-983014a016a2</vt:lpwstr>
  </property>
  <property fmtid="{D5CDD505-2E9C-101B-9397-08002B2CF9AE}" pid="7" name="MSIP_Label_defa4170-0d19-0005-0004-bc88714345d2_ActionId">
    <vt:lpwstr>de1e29b2-7a70-4c18-908a-ee6f85499b4f</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